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dor\PLANILHA DE CUSTOS\planilha de custos 2017\"/>
    </mc:Choice>
  </mc:AlternateContent>
  <bookViews>
    <workbookView xWindow="0" yWindow="0" windowWidth="20490" windowHeight="7905" activeTab="3" xr2:uid="{00000000-000D-0000-FFFF-FFFF00000000}"/>
  </bookViews>
  <sheets>
    <sheet name="Ajustado" sheetId="5" r:id="rId1"/>
    <sheet name="Estudo Rais" sheetId="6" r:id="rId2"/>
    <sheet name="Original" sheetId="4" r:id="rId3"/>
    <sheet name="NEGOCIAÇÃO VALOR DA HD" sheetId="3" r:id="rId4"/>
  </sheets>
  <calcPr calcId="171027"/>
</workbook>
</file>

<file path=xl/calcChain.xml><?xml version="1.0" encoding="utf-8"?>
<calcChain xmlns="http://schemas.openxmlformats.org/spreadsheetml/2006/main">
  <c r="E64" i="5" l="1"/>
  <c r="G64" i="5" s="1"/>
  <c r="E63" i="5"/>
  <c r="G63" i="5" s="1"/>
  <c r="E62" i="5"/>
  <c r="G62" i="5" s="1"/>
  <c r="E59" i="5"/>
  <c r="G59" i="5" s="1"/>
  <c r="E60" i="5"/>
  <c r="G60" i="5" s="1"/>
  <c r="G46" i="5"/>
  <c r="D36" i="5" l="1"/>
  <c r="K19" i="5"/>
  <c r="K17" i="5"/>
  <c r="K6" i="5"/>
  <c r="K7" i="5"/>
  <c r="K8" i="5"/>
  <c r="K9" i="5"/>
  <c r="K10" i="5"/>
  <c r="K11" i="5"/>
  <c r="K12" i="5"/>
  <c r="K13" i="5"/>
  <c r="K14" i="5"/>
  <c r="K15" i="5"/>
  <c r="K16" i="5"/>
  <c r="K18" i="5"/>
  <c r="K20" i="5"/>
  <c r="K21" i="5"/>
  <c r="K22" i="5"/>
  <c r="K5" i="5"/>
  <c r="H22" i="6"/>
  <c r="F22" i="6"/>
  <c r="H21" i="6"/>
  <c r="F21" i="6"/>
  <c r="H20" i="6"/>
  <c r="F20" i="6"/>
  <c r="H19" i="6"/>
  <c r="F19" i="6"/>
  <c r="H18" i="6"/>
  <c r="F18" i="6"/>
  <c r="L18" i="6" s="1"/>
  <c r="H17" i="6"/>
  <c r="F17" i="6"/>
  <c r="H16" i="6"/>
  <c r="F16" i="6"/>
  <c r="K16" i="6" s="1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H6" i="6"/>
  <c r="F6" i="6"/>
  <c r="H5" i="6"/>
  <c r="F5" i="6"/>
  <c r="F57" i="5"/>
  <c r="G57" i="5" s="1"/>
  <c r="C52" i="5"/>
  <c r="F50" i="5"/>
  <c r="G50" i="5" s="1"/>
  <c r="F49" i="5"/>
  <c r="G49" i="5" s="1"/>
  <c r="F48" i="5"/>
  <c r="G48" i="5" s="1"/>
  <c r="F47" i="5"/>
  <c r="G47" i="5" s="1"/>
  <c r="E46" i="5"/>
  <c r="F46" i="5" s="1"/>
  <c r="F45" i="5"/>
  <c r="E45" i="5"/>
  <c r="C36" i="5"/>
  <c r="H22" i="5"/>
  <c r="F22" i="5"/>
  <c r="G22" i="5" s="1"/>
  <c r="L22" i="5" s="1"/>
  <c r="H21" i="5"/>
  <c r="F21" i="5"/>
  <c r="G21" i="5" s="1"/>
  <c r="I21" i="5" s="1"/>
  <c r="H20" i="5"/>
  <c r="F20" i="5"/>
  <c r="G20" i="5" s="1"/>
  <c r="H19" i="5"/>
  <c r="F19" i="5"/>
  <c r="G19" i="5" s="1"/>
  <c r="I19" i="5" s="1"/>
  <c r="H18" i="5"/>
  <c r="F18" i="5"/>
  <c r="G18" i="5" s="1"/>
  <c r="H17" i="5"/>
  <c r="F17" i="5"/>
  <c r="G17" i="5" s="1"/>
  <c r="I17" i="5" s="1"/>
  <c r="H16" i="5"/>
  <c r="F16" i="5"/>
  <c r="G16" i="5" s="1"/>
  <c r="H15" i="5"/>
  <c r="F15" i="5"/>
  <c r="G15" i="5" s="1"/>
  <c r="I15" i="5" s="1"/>
  <c r="H14" i="5"/>
  <c r="F14" i="5"/>
  <c r="G14" i="5" s="1"/>
  <c r="H13" i="5"/>
  <c r="F13" i="5"/>
  <c r="G13" i="5" s="1"/>
  <c r="I13" i="5" s="1"/>
  <c r="H12" i="5"/>
  <c r="F12" i="5"/>
  <c r="G12" i="5" s="1"/>
  <c r="H11" i="5"/>
  <c r="F11" i="5"/>
  <c r="G11" i="5" s="1"/>
  <c r="I11" i="5" s="1"/>
  <c r="H10" i="5"/>
  <c r="F10" i="5"/>
  <c r="G10" i="5" s="1"/>
  <c r="L10" i="5" s="1"/>
  <c r="H9" i="5"/>
  <c r="F9" i="5"/>
  <c r="G9" i="5" s="1"/>
  <c r="I9" i="5" s="1"/>
  <c r="H8" i="5"/>
  <c r="F8" i="5"/>
  <c r="G8" i="5" s="1"/>
  <c r="L8" i="5" s="1"/>
  <c r="H7" i="5"/>
  <c r="F7" i="5"/>
  <c r="G7" i="5" s="1"/>
  <c r="I7" i="5" s="1"/>
  <c r="H6" i="5"/>
  <c r="F6" i="5"/>
  <c r="G6" i="5" s="1"/>
  <c r="H5" i="5"/>
  <c r="F5" i="5"/>
  <c r="G5" i="5" s="1"/>
  <c r="I5" i="5" s="1"/>
  <c r="L16" i="5" l="1"/>
  <c r="L12" i="5"/>
  <c r="L6" i="5"/>
  <c r="I12" i="5"/>
  <c r="L14" i="5"/>
  <c r="I18" i="5"/>
  <c r="I20" i="5"/>
  <c r="E52" i="5"/>
  <c r="F52" i="5" s="1"/>
  <c r="G52" i="5" s="1"/>
  <c r="C61" i="5"/>
  <c r="E61" i="5" s="1"/>
  <c r="G61" i="5" s="1"/>
  <c r="G58" i="5" s="1"/>
  <c r="L21" i="5"/>
  <c r="G65" i="5"/>
  <c r="F77" i="5" s="1"/>
  <c r="G77" i="5" s="1"/>
  <c r="L11" i="5"/>
  <c r="L19" i="5"/>
  <c r="F51" i="5"/>
  <c r="G45" i="5"/>
  <c r="G51" i="5" s="1"/>
  <c r="F76" i="5" s="1"/>
  <c r="G76" i="5" s="1"/>
  <c r="L15" i="5"/>
  <c r="L5" i="5"/>
  <c r="L13" i="5"/>
  <c r="L7" i="5"/>
  <c r="L18" i="5"/>
  <c r="L20" i="5"/>
  <c r="L17" i="5"/>
  <c r="L9" i="5"/>
  <c r="G6" i="6"/>
  <c r="I6" i="6" s="1"/>
  <c r="G8" i="6"/>
  <c r="I8" i="6" s="1"/>
  <c r="G10" i="6"/>
  <c r="I10" i="6" s="1"/>
  <c r="G12" i="6"/>
  <c r="I12" i="6" s="1"/>
  <c r="G14" i="6"/>
  <c r="I14" i="6" s="1"/>
  <c r="G16" i="6"/>
  <c r="I16" i="6" s="1"/>
  <c r="G18" i="6"/>
  <c r="I18" i="6" s="1"/>
  <c r="G20" i="6"/>
  <c r="I20" i="6" s="1"/>
  <c r="G22" i="6"/>
  <c r="I22" i="6" s="1"/>
  <c r="K12" i="6"/>
  <c r="L14" i="6"/>
  <c r="K8" i="6"/>
  <c r="O8" i="6" s="1"/>
  <c r="L10" i="6"/>
  <c r="G5" i="6"/>
  <c r="G7" i="6"/>
  <c r="I7" i="6" s="1"/>
  <c r="G9" i="6"/>
  <c r="I9" i="6" s="1"/>
  <c r="G11" i="6"/>
  <c r="G13" i="6"/>
  <c r="G15" i="6"/>
  <c r="I15" i="6" s="1"/>
  <c r="G17" i="6"/>
  <c r="I17" i="6" s="1"/>
  <c r="G19" i="6"/>
  <c r="G21" i="6"/>
  <c r="I21" i="6" s="1"/>
  <c r="K20" i="6"/>
  <c r="L22" i="6"/>
  <c r="L6" i="6"/>
  <c r="K5" i="6"/>
  <c r="K19" i="6"/>
  <c r="K15" i="6"/>
  <c r="K11" i="6"/>
  <c r="K7" i="6"/>
  <c r="L21" i="6"/>
  <c r="L17" i="6"/>
  <c r="L13" i="6"/>
  <c r="L9" i="6"/>
  <c r="K22" i="6"/>
  <c r="K18" i="6"/>
  <c r="O18" i="6" s="1"/>
  <c r="K14" i="6"/>
  <c r="K10" i="6"/>
  <c r="K6" i="6"/>
  <c r="O6" i="6" s="1"/>
  <c r="L20" i="6"/>
  <c r="L16" i="6"/>
  <c r="O16" i="6" s="1"/>
  <c r="L12" i="6"/>
  <c r="O12" i="6" s="1"/>
  <c r="L8" i="6"/>
  <c r="I5" i="6"/>
  <c r="I11" i="6"/>
  <c r="I13" i="6"/>
  <c r="I19" i="6"/>
  <c r="K21" i="6"/>
  <c r="O21" i="6" s="1"/>
  <c r="K17" i="6"/>
  <c r="O17" i="6" s="1"/>
  <c r="K13" i="6"/>
  <c r="O13" i="6" s="1"/>
  <c r="K9" i="6"/>
  <c r="L5" i="6"/>
  <c r="L19" i="6"/>
  <c r="L15" i="6"/>
  <c r="L11" i="6"/>
  <c r="L7" i="6"/>
  <c r="I6" i="5"/>
  <c r="I8" i="5"/>
  <c r="I10" i="5"/>
  <c r="I14" i="5"/>
  <c r="I16" i="5"/>
  <c r="I22" i="5"/>
  <c r="F56" i="4"/>
  <c r="C51" i="4"/>
  <c r="E51" i="4" s="1"/>
  <c r="F51" i="4" s="1"/>
  <c r="F49" i="4"/>
  <c r="F48" i="4"/>
  <c r="F47" i="4"/>
  <c r="F46" i="4"/>
  <c r="E45" i="4"/>
  <c r="F45" i="4" s="1"/>
  <c r="E44" i="4"/>
  <c r="F44" i="4" s="1"/>
  <c r="C35" i="4"/>
  <c r="H22" i="4"/>
  <c r="F22" i="4"/>
  <c r="G22" i="4" s="1"/>
  <c r="H21" i="4"/>
  <c r="F21" i="4"/>
  <c r="G21" i="4" s="1"/>
  <c r="H20" i="4"/>
  <c r="F20" i="4"/>
  <c r="G20" i="4" s="1"/>
  <c r="H19" i="4"/>
  <c r="F19" i="4"/>
  <c r="G19" i="4" s="1"/>
  <c r="H18" i="4"/>
  <c r="F18" i="4"/>
  <c r="G18" i="4" s="1"/>
  <c r="H17" i="4"/>
  <c r="F17" i="4"/>
  <c r="G17" i="4" s="1"/>
  <c r="H16" i="4"/>
  <c r="F16" i="4"/>
  <c r="G16" i="4" s="1"/>
  <c r="H15" i="4"/>
  <c r="F15" i="4"/>
  <c r="G15" i="4" s="1"/>
  <c r="H14" i="4"/>
  <c r="F14" i="4"/>
  <c r="G14" i="4" s="1"/>
  <c r="H13" i="4"/>
  <c r="F13" i="4"/>
  <c r="G13" i="4" s="1"/>
  <c r="H12" i="4"/>
  <c r="F12" i="4"/>
  <c r="G12" i="4" s="1"/>
  <c r="H11" i="4"/>
  <c r="F11" i="4"/>
  <c r="G11" i="4" s="1"/>
  <c r="H10" i="4"/>
  <c r="F10" i="4"/>
  <c r="G10" i="4" s="1"/>
  <c r="H9" i="4"/>
  <c r="F9" i="4"/>
  <c r="G9" i="4" s="1"/>
  <c r="H8" i="4"/>
  <c r="F8" i="4"/>
  <c r="G8" i="4" s="1"/>
  <c r="I8" i="4" s="1"/>
  <c r="H7" i="4"/>
  <c r="F7" i="4"/>
  <c r="G7" i="4" s="1"/>
  <c r="H6" i="4"/>
  <c r="F6" i="4"/>
  <c r="G6" i="4" s="1"/>
  <c r="I6" i="4" s="1"/>
  <c r="H5" i="4"/>
  <c r="F5" i="4"/>
  <c r="G5" i="4" s="1"/>
  <c r="O22" i="6" l="1"/>
  <c r="O20" i="6"/>
  <c r="O9" i="6"/>
  <c r="O19" i="6"/>
  <c r="L23" i="5"/>
  <c r="O14" i="6"/>
  <c r="O11" i="6"/>
  <c r="O10" i="6"/>
  <c r="O7" i="6"/>
  <c r="O5" i="6"/>
  <c r="I23" i="5"/>
  <c r="C28" i="5" s="1"/>
  <c r="O15" i="6"/>
  <c r="I23" i="6"/>
  <c r="I24" i="6" s="1"/>
  <c r="L24" i="5"/>
  <c r="D28" i="5"/>
  <c r="F50" i="4"/>
  <c r="I5" i="4"/>
  <c r="I9" i="4"/>
  <c r="I11" i="4"/>
  <c r="I13" i="4"/>
  <c r="I15" i="4"/>
  <c r="I19" i="4"/>
  <c r="I21" i="4"/>
  <c r="I7" i="4"/>
  <c r="I10" i="4"/>
  <c r="I12" i="4"/>
  <c r="I14" i="4"/>
  <c r="I16" i="4"/>
  <c r="I18" i="4"/>
  <c r="I20" i="4"/>
  <c r="I22" i="4"/>
  <c r="I17" i="4"/>
  <c r="I24" i="5" l="1"/>
  <c r="L25" i="5" s="1"/>
  <c r="D37" i="5"/>
  <c r="D38" i="5" s="1"/>
  <c r="D29" i="5"/>
  <c r="D40" i="5" s="1"/>
  <c r="D39" i="5" s="1"/>
  <c r="F72" i="5" s="1"/>
  <c r="C37" i="5"/>
  <c r="C38" i="5" s="1"/>
  <c r="C29" i="5"/>
  <c r="I23" i="4"/>
  <c r="I24" i="4" s="1"/>
  <c r="G72" i="5" l="1"/>
  <c r="G79" i="5" s="1"/>
  <c r="G80" i="5" s="1"/>
  <c r="F79" i="5"/>
  <c r="F80" i="5" s="1"/>
  <c r="C40" i="5"/>
  <c r="C39" i="5" s="1"/>
  <c r="C28" i="4"/>
  <c r="C36" i="4" s="1"/>
  <c r="C37" i="4" s="1"/>
  <c r="C29" i="4" l="1"/>
  <c r="C39" i="4"/>
  <c r="C38" i="4" l="1"/>
</calcChain>
</file>

<file path=xl/sharedStrings.xml><?xml version="1.0" encoding="utf-8"?>
<sst xmlns="http://schemas.openxmlformats.org/spreadsheetml/2006/main" count="241" uniqueCount="98">
  <si>
    <t>Categoria</t>
  </si>
  <si>
    <t>TOTAL</t>
  </si>
  <si>
    <t>RECURSOS HUMANOS - RH</t>
  </si>
  <si>
    <t>Profissionais</t>
  </si>
  <si>
    <t>Horas contrat. - RAIS 2014</t>
  </si>
  <si>
    <t>Valor remuneração - RAIS 2014</t>
  </si>
  <si>
    <t>Variação do Salário Mínimo no período 2014-2016</t>
  </si>
  <si>
    <t>Valor da Renuneração após reajuste do Salário Mínimo</t>
  </si>
  <si>
    <t>Valor por hora</t>
  </si>
  <si>
    <t>Horas de trabalho mensal</t>
  </si>
  <si>
    <t>Valor total</t>
  </si>
  <si>
    <t>01 Médico Nefrologista (RT)</t>
  </si>
  <si>
    <t>01 Enfermeiro, especializado em nefrologia (RT)</t>
  </si>
  <si>
    <t>01 Médico Nefrologista</t>
  </si>
  <si>
    <t>01 Enfermeiro especialista em nefrologia</t>
  </si>
  <si>
    <t>01 Assistênte social</t>
  </si>
  <si>
    <t>01 Psicologo</t>
  </si>
  <si>
    <t>01 Nutricionista</t>
  </si>
  <si>
    <t>Técnico de enfermagem</t>
  </si>
  <si>
    <t>Técnico de enfermagem exclusivo para o reprocessamento dos capilares</t>
  </si>
  <si>
    <t>01 funcionário, exclusivo para serviços de limpeza</t>
  </si>
  <si>
    <t>Técnico Responsável pelo Sistema de água p/ Diálise</t>
  </si>
  <si>
    <t>Técnico de Manutenção</t>
  </si>
  <si>
    <t>Administrador</t>
  </si>
  <si>
    <t>Recepcionista</t>
  </si>
  <si>
    <t>Assistente Administrativo</t>
  </si>
  <si>
    <t>Vigia</t>
  </si>
  <si>
    <t>Porteiro</t>
  </si>
  <si>
    <t>Auxiliar de Serviços Gerais</t>
  </si>
  <si>
    <t>TOTAL RH</t>
  </si>
  <si>
    <t>TOTAL RH/SESSÃO</t>
  </si>
  <si>
    <t>Valor por sessão</t>
  </si>
  <si>
    <t>ENCARGOS TRABALHISTAS</t>
  </si>
  <si>
    <t>Salário Julho - 2016</t>
  </si>
  <si>
    <t>Total RH</t>
  </si>
  <si>
    <t>Total RH/sessão</t>
  </si>
  <si>
    <t>FGTS</t>
  </si>
  <si>
    <t>INSS Empresa</t>
  </si>
  <si>
    <t>Multa Rescisória</t>
  </si>
  <si>
    <t>Giil-RAT</t>
  </si>
  <si>
    <t>Vale transporte</t>
  </si>
  <si>
    <t>% Total</t>
  </si>
  <si>
    <t>Valor encargos trabalhistas</t>
  </si>
  <si>
    <t>Total RH com encargos trabalhistas</t>
  </si>
  <si>
    <t>Total RH com encargos trabalhistas/sessão</t>
  </si>
  <si>
    <t>Valor encargos trabalhistas/sessão</t>
  </si>
  <si>
    <t>SERVIÇOS DE TERCEIROS</t>
  </si>
  <si>
    <t>Item</t>
  </si>
  <si>
    <t>Valor unitário</t>
  </si>
  <si>
    <t>Quantidade</t>
  </si>
  <si>
    <t>Água e esgoto (m3)</t>
  </si>
  <si>
    <t>Luz (KWh/mês)</t>
  </si>
  <si>
    <t>Serviços contábeis</t>
  </si>
  <si>
    <t>Assessoria Juridica</t>
  </si>
  <si>
    <t>Medicina do Trabalho</t>
  </si>
  <si>
    <t>Taxa de Lixo - TRSS (mensal)</t>
  </si>
  <si>
    <t>Aluguel de imóveis/Infraestrutura</t>
  </si>
  <si>
    <t>OUTROS CUSTOS INDIRETOS</t>
  </si>
  <si>
    <t>IPTU</t>
  </si>
  <si>
    <t>Manutenção</t>
  </si>
  <si>
    <t>Com descarte</t>
  </si>
  <si>
    <t>Sem descarte</t>
  </si>
  <si>
    <t>TOTAL PROCEDIMENTO</t>
  </si>
  <si>
    <t>SBN</t>
  </si>
  <si>
    <t>Material de consumo</t>
  </si>
  <si>
    <t>Recursos humanos + encargos sociais</t>
  </si>
  <si>
    <t>Equipamentos</t>
  </si>
  <si>
    <t>Tributos</t>
  </si>
  <si>
    <t>Serviços de terceiros</t>
  </si>
  <si>
    <t>Outros custos indiretos</t>
  </si>
  <si>
    <t>Infraestrutura</t>
  </si>
  <si>
    <t>Variação</t>
  </si>
  <si>
    <t>Horas de trabalho mensal (15h/dia x 26 dias)</t>
  </si>
  <si>
    <t>Quantidade de Profissionais</t>
  </si>
  <si>
    <t>INSS Terceiros</t>
  </si>
  <si>
    <t>Ajuste</t>
  </si>
  <si>
    <t>Base</t>
  </si>
  <si>
    <t>Atual</t>
  </si>
  <si>
    <t>Férias (11,11%)</t>
  </si>
  <si>
    <t>13° Salário (8,33%)</t>
  </si>
  <si>
    <t>Insalubridade     (20% Sal. Mínimo )</t>
  </si>
  <si>
    <t>Vale Alimentação (PAT)</t>
  </si>
  <si>
    <t>Valor Remuneração Base       (excluindo provisões e benefícios)</t>
  </si>
  <si>
    <t>Abaixo Sal. Mínimo</t>
  </si>
  <si>
    <t>Abaixo Piso Categoria</t>
  </si>
  <si>
    <t>Valores integrados nas remunerações mensais na RAIS</t>
  </si>
  <si>
    <t>Valor por sessão  Ajustado</t>
  </si>
  <si>
    <t xml:space="preserve">   Lanche de Pacientes</t>
  </si>
  <si>
    <t xml:space="preserve">   Manutenção de Equipamentos de HD</t>
  </si>
  <si>
    <t xml:space="preserve">   Manutenção Predial</t>
  </si>
  <si>
    <t xml:space="preserve">   Manutenções Outras (emergência, ar condicionado, etc.)</t>
  </si>
  <si>
    <t xml:space="preserve">   Material de Higiene e Limpeza</t>
  </si>
  <si>
    <t xml:space="preserve">   Material de Escritório</t>
  </si>
  <si>
    <t>consideramos 10 mil</t>
  </si>
  <si>
    <t>acrescentamos</t>
  </si>
  <si>
    <t>ABCDT / SBN</t>
  </si>
  <si>
    <t>NEGOCIAÇÃO DO VALOR DA HD SUS COM O MS - 2º semestre 2016</t>
  </si>
  <si>
    <t>Data: 19/03/2017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</si>
</sst>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  <numFmt numFmtId="166" formatCode="0.0%"/>
    <numFmt numFmtId="167" formatCode="_-&quot;R$&quot;\ * #,##0.0000_-;\-&quot;R$&quot;\ * #,##0.00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0" fillId="0" borderId="0" xfId="0" applyFill="1" applyBorder="1"/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/>
    </xf>
    <xf numFmtId="2" fontId="6" fillId="0" borderId="5" xfId="1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/>
    </xf>
    <xf numFmtId="4" fontId="6" fillId="4" borderId="5" xfId="0" applyNumberFormat="1" applyFont="1" applyFill="1" applyBorder="1" applyAlignment="1">
      <alignment horizontal="center" vertical="center"/>
    </xf>
    <xf numFmtId="10" fontId="2" fillId="4" borderId="5" xfId="0" applyNumberFormat="1" applyFont="1" applyFill="1" applyBorder="1" applyAlignment="1">
      <alignment horizontal="center" vertical="center"/>
    </xf>
    <xf numFmtId="2" fontId="6" fillId="4" borderId="5" xfId="1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5" xfId="0" applyFont="1" applyFill="1" applyBorder="1" applyAlignment="1">
      <alignment horizontal="center"/>
    </xf>
    <xf numFmtId="10" fontId="2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center"/>
    </xf>
    <xf numFmtId="3" fontId="6" fillId="4" borderId="5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3" xfId="0" applyFont="1" applyFill="1" applyBorder="1" applyAlignment="1">
      <alignment horizontal="right"/>
    </xf>
    <xf numFmtId="2" fontId="3" fillId="0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4" fillId="2" borderId="5" xfId="0" applyFont="1" applyFill="1" applyBorder="1" applyAlignment="1"/>
    <xf numFmtId="0" fontId="5" fillId="3" borderId="1" xfId="0" applyFont="1" applyFill="1" applyBorder="1"/>
    <xf numFmtId="0" fontId="5" fillId="3" borderId="5" xfId="0" applyFont="1" applyFill="1" applyBorder="1" applyAlignment="1"/>
    <xf numFmtId="0" fontId="2" fillId="0" borderId="1" xfId="0" applyFont="1" applyBorder="1"/>
    <xf numFmtId="165" fontId="2" fillId="0" borderId="5" xfId="0" applyNumberFormat="1" applyFont="1" applyBorder="1"/>
    <xf numFmtId="0" fontId="2" fillId="0" borderId="5" xfId="0" applyFont="1" applyBorder="1"/>
    <xf numFmtId="9" fontId="2" fillId="0" borderId="5" xfId="0" applyNumberFormat="1" applyFont="1" applyBorder="1"/>
    <xf numFmtId="166" fontId="2" fillId="0" borderId="5" xfId="0" applyNumberFormat="1" applyFont="1" applyBorder="1"/>
    <xf numFmtId="166" fontId="2" fillId="0" borderId="5" xfId="2" applyNumberFormat="1" applyFont="1" applyBorder="1"/>
    <xf numFmtId="0" fontId="3" fillId="0" borderId="1" xfId="0" applyFont="1" applyBorder="1"/>
    <xf numFmtId="165" fontId="3" fillId="0" borderId="5" xfId="0" applyNumberFormat="1" applyFont="1" applyBorder="1"/>
    <xf numFmtId="44" fontId="2" fillId="0" borderId="5" xfId="1" applyFont="1" applyBorder="1" applyAlignment="1">
      <alignment horizontal="center" vertical="center"/>
    </xf>
    <xf numFmtId="44" fontId="9" fillId="0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/>
    <xf numFmtId="0" fontId="2" fillId="4" borderId="5" xfId="0" applyFont="1" applyFill="1" applyBorder="1" applyAlignment="1">
      <alignment vertical="center"/>
    </xf>
    <xf numFmtId="44" fontId="2" fillId="4" borderId="5" xfId="1" applyFont="1" applyFill="1" applyBorder="1" applyAlignment="1">
      <alignment horizontal="center" vertical="center"/>
    </xf>
    <xf numFmtId="44" fontId="9" fillId="4" borderId="5" xfId="1" applyFont="1" applyFill="1" applyBorder="1" applyAlignment="1">
      <alignment horizontal="center" vertical="center" wrapText="1"/>
    </xf>
    <xf numFmtId="44" fontId="2" fillId="4" borderId="5" xfId="0" applyNumberFormat="1" applyFont="1" applyFill="1" applyBorder="1"/>
    <xf numFmtId="0" fontId="9" fillId="4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4" fontId="3" fillId="0" borderId="5" xfId="0" applyNumberFormat="1" applyFont="1" applyFill="1" applyBorder="1"/>
    <xf numFmtId="0" fontId="6" fillId="4" borderId="5" xfId="0" applyFont="1" applyFill="1" applyBorder="1" applyAlignment="1">
      <alignment horizontal="left" vertical="center"/>
    </xf>
    <xf numFmtId="44" fontId="6" fillId="4" borderId="5" xfId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4" fontId="6" fillId="4" borderId="5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/>
    </xf>
    <xf numFmtId="9" fontId="2" fillId="0" borderId="5" xfId="2" applyNumberFormat="1" applyFont="1" applyBorder="1" applyAlignment="1">
      <alignment horizontal="center" vertical="center"/>
    </xf>
    <xf numFmtId="44" fontId="2" fillId="0" borderId="5" xfId="1" applyFont="1" applyBorder="1"/>
    <xf numFmtId="44" fontId="3" fillId="0" borderId="5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44" fontId="2" fillId="0" borderId="0" xfId="1" applyFont="1" applyBorder="1"/>
    <xf numFmtId="44" fontId="3" fillId="0" borderId="0" xfId="0" applyNumberFormat="1" applyFont="1" applyBorder="1"/>
    <xf numFmtId="0" fontId="5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/>
    </xf>
    <xf numFmtId="44" fontId="2" fillId="0" borderId="5" xfId="1" applyNumberFormat="1" applyFont="1" applyBorder="1" applyAlignment="1">
      <alignment horizontal="center" vertical="center"/>
    </xf>
    <xf numFmtId="44" fontId="2" fillId="0" borderId="5" xfId="0" applyNumberFormat="1" applyFont="1" applyBorder="1" applyAlignment="1">
      <alignment horizontal="center" vertical="center"/>
    </xf>
    <xf numFmtId="44" fontId="9" fillId="0" borderId="5" xfId="0" applyNumberFormat="1" applyFont="1" applyFill="1" applyBorder="1" applyAlignment="1">
      <alignment horizontal="center" vertical="center" wrapText="1"/>
    </xf>
    <xf numFmtId="10" fontId="2" fillId="0" borderId="5" xfId="2" applyNumberFormat="1" applyFont="1" applyBorder="1" applyAlignment="1">
      <alignment horizontal="center" vertical="center"/>
    </xf>
    <xf numFmtId="10" fontId="9" fillId="0" borderId="5" xfId="2" applyNumberFormat="1" applyFont="1" applyFill="1" applyBorder="1" applyAlignment="1">
      <alignment horizontal="center" vertical="center" wrapText="1"/>
    </xf>
    <xf numFmtId="44" fontId="2" fillId="4" borderId="5" xfId="1" applyNumberFormat="1" applyFont="1" applyFill="1" applyBorder="1" applyAlignment="1">
      <alignment horizontal="center" vertical="center"/>
    </xf>
    <xf numFmtId="44" fontId="2" fillId="4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44" fontId="2" fillId="5" borderId="5" xfId="1" applyNumberFormat="1" applyFont="1" applyFill="1" applyBorder="1" applyAlignment="1">
      <alignment horizontal="center" vertical="center"/>
    </xf>
    <xf numFmtId="44" fontId="2" fillId="5" borderId="5" xfId="0" applyNumberFormat="1" applyFont="1" applyFill="1" applyBorder="1" applyAlignment="1">
      <alignment horizontal="center" vertical="center"/>
    </xf>
    <xf numFmtId="44" fontId="9" fillId="5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center" vertical="center"/>
    </xf>
    <xf numFmtId="0" fontId="2" fillId="6" borderId="1" xfId="0" applyFont="1" applyFill="1" applyBorder="1"/>
    <xf numFmtId="9" fontId="2" fillId="6" borderId="5" xfId="0" applyNumberFormat="1" applyFont="1" applyFill="1" applyBorder="1"/>
    <xf numFmtId="166" fontId="2" fillId="6" borderId="5" xfId="0" applyNumberFormat="1" applyFont="1" applyFill="1" applyBorder="1"/>
    <xf numFmtId="44" fontId="0" fillId="0" borderId="0" xfId="0" applyNumberFormat="1"/>
    <xf numFmtId="0" fontId="5" fillId="7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/>
    <xf numFmtId="0" fontId="4" fillId="8" borderId="5" xfId="0" applyFont="1" applyFill="1" applyBorder="1" applyAlignment="1">
      <alignment horizontal="center"/>
    </xf>
    <xf numFmtId="44" fontId="3" fillId="0" borderId="5" xfId="1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44" fontId="10" fillId="0" borderId="5" xfId="0" applyNumberFormat="1" applyFont="1" applyFill="1" applyBorder="1" applyAlignment="1">
      <alignment horizontal="center" vertical="center" wrapText="1"/>
    </xf>
    <xf numFmtId="164" fontId="11" fillId="6" borderId="5" xfId="0" applyNumberFormat="1" applyFont="1" applyFill="1" applyBorder="1" applyAlignment="1">
      <alignment horizontal="center" vertical="center"/>
    </xf>
    <xf numFmtId="10" fontId="3" fillId="0" borderId="5" xfId="2" applyNumberFormat="1" applyFont="1" applyBorder="1" applyAlignment="1">
      <alignment horizontal="center" vertical="center"/>
    </xf>
    <xf numFmtId="10" fontId="10" fillId="0" borderId="5" xfId="2" applyNumberFormat="1" applyFont="1" applyFill="1" applyBorder="1" applyAlignment="1">
      <alignment horizontal="center" vertical="center" wrapText="1"/>
    </xf>
    <xf numFmtId="10" fontId="11" fillId="0" borderId="5" xfId="2" applyNumberFormat="1" applyFont="1" applyFill="1" applyBorder="1" applyAlignment="1">
      <alignment horizontal="center" vertical="center"/>
    </xf>
    <xf numFmtId="164" fontId="12" fillId="6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 applyAlignment="1">
      <alignment horizontal="center" vertical="center"/>
    </xf>
    <xf numFmtId="164" fontId="0" fillId="5" borderId="0" xfId="0" applyNumberFormat="1" applyFill="1"/>
    <xf numFmtId="0" fontId="0" fillId="5" borderId="0" xfId="0" applyFill="1"/>
    <xf numFmtId="0" fontId="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164" fontId="6" fillId="5" borderId="0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/>
    </xf>
    <xf numFmtId="164" fontId="0" fillId="5" borderId="0" xfId="0" applyNumberFormat="1" applyFill="1" applyBorder="1"/>
    <xf numFmtId="0" fontId="0" fillId="5" borderId="0" xfId="0" applyFill="1" applyBorder="1"/>
    <xf numFmtId="0" fontId="2" fillId="5" borderId="0" xfId="0" applyFont="1" applyFill="1"/>
    <xf numFmtId="0" fontId="2" fillId="5" borderId="0" xfId="0" applyFont="1" applyFill="1" applyBorder="1"/>
    <xf numFmtId="0" fontId="8" fillId="5" borderId="5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right"/>
    </xf>
    <xf numFmtId="2" fontId="3" fillId="5" borderId="5" xfId="0" applyNumberFormat="1" applyFont="1" applyFill="1" applyBorder="1" applyAlignment="1">
      <alignment horizontal="center" vertical="center"/>
    </xf>
    <xf numFmtId="1" fontId="6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2" fontId="6" fillId="5" borderId="0" xfId="0" applyNumberFormat="1" applyFont="1" applyFill="1" applyBorder="1" applyAlignment="1">
      <alignment horizontal="center"/>
    </xf>
    <xf numFmtId="44" fontId="2" fillId="5" borderId="0" xfId="1" applyFont="1" applyFill="1" applyBorder="1"/>
    <xf numFmtId="44" fontId="3" fillId="5" borderId="0" xfId="0" applyNumberFormat="1" applyFont="1" applyFill="1" applyBorder="1"/>
    <xf numFmtId="10" fontId="0" fillId="5" borderId="0" xfId="0" applyNumberFormat="1" applyFill="1"/>
    <xf numFmtId="167" fontId="0" fillId="5" borderId="0" xfId="0" applyNumberFormat="1" applyFill="1"/>
    <xf numFmtId="44" fontId="0" fillId="5" borderId="0" xfId="0" applyNumberFormat="1" applyFill="1"/>
    <xf numFmtId="44" fontId="8" fillId="6" borderId="5" xfId="0" applyNumberFormat="1" applyFont="1" applyFill="1" applyBorder="1" applyAlignment="1">
      <alignment horizontal="center"/>
    </xf>
    <xf numFmtId="2" fontId="0" fillId="5" borderId="0" xfId="0" applyNumberFormat="1" applyFill="1"/>
    <xf numFmtId="0" fontId="0" fillId="9" borderId="0" xfId="0" applyFill="1"/>
    <xf numFmtId="0" fontId="0" fillId="0" borderId="0" xfId="0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4" fontId="13" fillId="0" borderId="17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0" fontId="5" fillId="8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4" fontId="9" fillId="4" borderId="6" xfId="0" applyNumberFormat="1" applyFont="1" applyFill="1" applyBorder="1" applyAlignment="1">
      <alignment horizontal="center" vertical="center" wrapText="1"/>
    </xf>
    <xf numFmtId="44" fontId="9" fillId="4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4" fontId="6" fillId="6" borderId="6" xfId="0" applyNumberFormat="1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44" fontId="2" fillId="4" borderId="6" xfId="1" applyNumberFormat="1" applyFont="1" applyFill="1" applyBorder="1" applyAlignment="1">
      <alignment horizontal="center" vertical="center"/>
    </xf>
    <xf numFmtId="44" fontId="2" fillId="4" borderId="4" xfId="1" applyNumberFormat="1" applyFont="1" applyFill="1" applyBorder="1" applyAlignment="1">
      <alignment horizontal="center" vertical="center"/>
    </xf>
    <xf numFmtId="44" fontId="2" fillId="4" borderId="6" xfId="0" applyNumberFormat="1" applyFont="1" applyFill="1" applyBorder="1" applyAlignment="1">
      <alignment horizontal="center" vertical="center"/>
    </xf>
    <xf numFmtId="44" fontId="2" fillId="4" borderId="4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O82"/>
  <sheetViews>
    <sheetView zoomScale="90" zoomScaleNormal="90" workbookViewId="0">
      <pane xSplit="2" ySplit="4" topLeftCell="C60" activePane="bottomRight" state="frozen"/>
      <selection pane="topRight" activeCell="C1" sqref="C1"/>
      <selection pane="bottomLeft" activeCell="A5" sqref="A5"/>
      <selection pane="bottomRight" activeCell="C77" sqref="C77"/>
    </sheetView>
  </sheetViews>
  <sheetFormatPr defaultColWidth="9" defaultRowHeight="15" x14ac:dyDescent="0.25"/>
  <cols>
    <col min="1" max="1" width="9" style="114"/>
    <col min="2" max="2" width="33.42578125" style="114" customWidth="1"/>
    <col min="3" max="3" width="14.85546875" style="114" customWidth="1"/>
    <col min="4" max="4" width="14.28515625" style="114" customWidth="1"/>
    <col min="5" max="5" width="12.7109375" style="114" customWidth="1"/>
    <col min="6" max="8" width="15" style="114" customWidth="1"/>
    <col min="9" max="9" width="15.7109375" style="114" bestFit="1" customWidth="1"/>
    <col min="10" max="10" width="15.7109375" style="114" customWidth="1"/>
    <col min="11" max="11" width="15.140625" style="114" customWidth="1"/>
    <col min="12" max="12" width="16.28515625" style="114" bestFit="1" customWidth="1"/>
    <col min="13" max="13" width="12" style="114" bestFit="1" customWidth="1"/>
    <col min="14" max="14" width="13.7109375" style="114" customWidth="1"/>
    <col min="15" max="15" width="15.140625" style="114" customWidth="1"/>
    <col min="16" max="16" width="14.7109375" style="114" customWidth="1"/>
    <col min="17" max="17" width="15.140625" style="114" customWidth="1"/>
    <col min="18" max="18" width="10" style="114" customWidth="1"/>
    <col min="19" max="16384" width="9" style="114"/>
  </cols>
  <sheetData>
    <row r="2" spans="2:15" x14ac:dyDescent="0.25">
      <c r="B2" s="170" t="s">
        <v>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2:15" ht="15" customHeight="1" x14ac:dyDescent="0.25">
      <c r="B3" s="160" t="s">
        <v>3</v>
      </c>
      <c r="C3" s="161" t="s">
        <v>4</v>
      </c>
      <c r="D3" s="161" t="s">
        <v>5</v>
      </c>
      <c r="E3" s="165" t="s">
        <v>6</v>
      </c>
      <c r="F3" s="165" t="s">
        <v>7</v>
      </c>
      <c r="G3" s="161" t="s">
        <v>8</v>
      </c>
      <c r="H3" s="161" t="s">
        <v>9</v>
      </c>
      <c r="I3" s="161" t="s">
        <v>10</v>
      </c>
      <c r="J3" s="169" t="s">
        <v>73</v>
      </c>
      <c r="K3" s="169" t="s">
        <v>72</v>
      </c>
      <c r="L3" s="169" t="s">
        <v>10</v>
      </c>
      <c r="M3" s="157"/>
      <c r="N3" s="157"/>
      <c r="O3" s="157"/>
    </row>
    <row r="4" spans="2:15" ht="36.75" customHeight="1" x14ac:dyDescent="0.25">
      <c r="B4" s="160"/>
      <c r="C4" s="161"/>
      <c r="D4" s="161"/>
      <c r="E4" s="166"/>
      <c r="F4" s="166"/>
      <c r="G4" s="161"/>
      <c r="H4" s="161"/>
      <c r="I4" s="161"/>
      <c r="J4" s="169"/>
      <c r="K4" s="169"/>
      <c r="L4" s="169"/>
      <c r="M4" s="157"/>
      <c r="N4" s="157"/>
      <c r="O4" s="157"/>
    </row>
    <row r="5" spans="2:15" ht="15" customHeight="1" x14ac:dyDescent="0.25">
      <c r="B5" s="3" t="s">
        <v>11</v>
      </c>
      <c r="C5" s="4">
        <v>30</v>
      </c>
      <c r="D5" s="5">
        <v>7175.0066666666662</v>
      </c>
      <c r="E5" s="6">
        <v>0.20519999999999999</v>
      </c>
      <c r="F5" s="5">
        <f>D5*(1+E5)</f>
        <v>8647.3180346666668</v>
      </c>
      <c r="G5" s="7">
        <f t="shared" ref="G5:G22" si="0">F5/C5/4</f>
        <v>72.060983622222224</v>
      </c>
      <c r="H5" s="8">
        <f>72*4</f>
        <v>288</v>
      </c>
      <c r="I5" s="9">
        <f>G5*H5</f>
        <v>20753.563283200001</v>
      </c>
      <c r="J5" s="8">
        <v>1</v>
      </c>
      <c r="K5" s="8">
        <f>J5*390</f>
        <v>390</v>
      </c>
      <c r="L5" s="9">
        <f>G5*K5</f>
        <v>28103.783612666666</v>
      </c>
      <c r="M5" s="127"/>
      <c r="N5" s="118"/>
      <c r="O5" s="128"/>
    </row>
    <row r="6" spans="2:15" x14ac:dyDescent="0.25">
      <c r="B6" s="13" t="s">
        <v>12</v>
      </c>
      <c r="C6" s="14">
        <v>39</v>
      </c>
      <c r="D6" s="15">
        <v>3228.4944444444441</v>
      </c>
      <c r="E6" s="16">
        <v>0.20519999999999999</v>
      </c>
      <c r="F6" s="15">
        <f t="shared" ref="F6:F22" si="1">D6*(1+E6)</f>
        <v>3890.981504444444</v>
      </c>
      <c r="G6" s="17">
        <f t="shared" si="0"/>
        <v>24.942189131054128</v>
      </c>
      <c r="H6" s="18">
        <f t="shared" ref="H6:H11" si="2">72*4</f>
        <v>288</v>
      </c>
      <c r="I6" s="19">
        <f t="shared" ref="I6:I22" si="3">G6*H6</f>
        <v>7183.3504697435892</v>
      </c>
      <c r="J6" s="93">
        <v>1</v>
      </c>
      <c r="K6" s="93">
        <f t="shared" ref="K6:K22" si="4">J6*390</f>
        <v>390</v>
      </c>
      <c r="L6" s="94">
        <f t="shared" ref="L6:L22" si="5">G6*K6</f>
        <v>9727.45376111111</v>
      </c>
      <c r="M6" s="127"/>
      <c r="N6" s="118"/>
      <c r="O6" s="128"/>
    </row>
    <row r="7" spans="2:15" x14ac:dyDescent="0.25">
      <c r="B7" s="3" t="s">
        <v>13</v>
      </c>
      <c r="C7" s="21">
        <v>30</v>
      </c>
      <c r="D7" s="5">
        <v>7175.0066666666662</v>
      </c>
      <c r="E7" s="22">
        <v>0.20519999999999999</v>
      </c>
      <c r="F7" s="5">
        <f t="shared" si="1"/>
        <v>8647.3180346666668</v>
      </c>
      <c r="G7" s="7">
        <f t="shared" si="0"/>
        <v>72.060983622222224</v>
      </c>
      <c r="H7" s="23">
        <f t="shared" si="2"/>
        <v>288</v>
      </c>
      <c r="I7" s="24">
        <f t="shared" si="3"/>
        <v>20753.563283200001</v>
      </c>
      <c r="J7" s="8">
        <v>1</v>
      </c>
      <c r="K7" s="8">
        <f t="shared" si="4"/>
        <v>390</v>
      </c>
      <c r="L7" s="9">
        <f t="shared" si="5"/>
        <v>28103.783612666666</v>
      </c>
      <c r="M7" s="127"/>
      <c r="N7" s="118"/>
      <c r="O7" s="128"/>
    </row>
    <row r="8" spans="2:15" x14ac:dyDescent="0.25">
      <c r="B8" s="13" t="s">
        <v>14</v>
      </c>
      <c r="C8" s="14">
        <v>39</v>
      </c>
      <c r="D8" s="15">
        <v>3228.4944444444441</v>
      </c>
      <c r="E8" s="16">
        <v>0.20519999999999999</v>
      </c>
      <c r="F8" s="15">
        <f t="shared" si="1"/>
        <v>3890.981504444444</v>
      </c>
      <c r="G8" s="17">
        <f t="shared" si="0"/>
        <v>24.942189131054128</v>
      </c>
      <c r="H8" s="18">
        <f t="shared" si="2"/>
        <v>288</v>
      </c>
      <c r="I8" s="19">
        <f t="shared" si="3"/>
        <v>7183.3504697435892</v>
      </c>
      <c r="J8" s="93">
        <v>1</v>
      </c>
      <c r="K8" s="93">
        <f t="shared" si="4"/>
        <v>390</v>
      </c>
      <c r="L8" s="94">
        <f t="shared" si="5"/>
        <v>9727.45376111111</v>
      </c>
      <c r="M8" s="127"/>
      <c r="N8" s="118"/>
      <c r="O8" s="128"/>
    </row>
    <row r="9" spans="2:15" x14ac:dyDescent="0.25">
      <c r="B9" s="3" t="s">
        <v>15</v>
      </c>
      <c r="C9" s="25">
        <v>37</v>
      </c>
      <c r="D9" s="5">
        <v>4504.1170370370364</v>
      </c>
      <c r="E9" s="22">
        <v>0.20519999999999999</v>
      </c>
      <c r="F9" s="5">
        <f t="shared" si="1"/>
        <v>5428.3618530370368</v>
      </c>
      <c r="G9" s="7">
        <f t="shared" si="0"/>
        <v>36.678120628628626</v>
      </c>
      <c r="H9" s="23">
        <f t="shared" si="2"/>
        <v>288</v>
      </c>
      <c r="I9" s="24">
        <f t="shared" si="3"/>
        <v>10563.298741045044</v>
      </c>
      <c r="J9" s="8">
        <v>1</v>
      </c>
      <c r="K9" s="8">
        <f t="shared" si="4"/>
        <v>390</v>
      </c>
      <c r="L9" s="9">
        <f t="shared" si="5"/>
        <v>14304.467045165164</v>
      </c>
      <c r="M9" s="127"/>
      <c r="N9" s="118"/>
      <c r="O9" s="128"/>
    </row>
    <row r="10" spans="2:15" x14ac:dyDescent="0.25">
      <c r="B10" s="13" t="s">
        <v>16</v>
      </c>
      <c r="C10" s="26">
        <v>37</v>
      </c>
      <c r="D10" s="15">
        <v>2916.9411111111112</v>
      </c>
      <c r="E10" s="16">
        <v>0.20519999999999999</v>
      </c>
      <c r="F10" s="15">
        <f t="shared" si="1"/>
        <v>3515.4974271111114</v>
      </c>
      <c r="G10" s="17">
        <f t="shared" si="0"/>
        <v>23.753360993993997</v>
      </c>
      <c r="H10" s="18">
        <f t="shared" si="2"/>
        <v>288</v>
      </c>
      <c r="I10" s="19">
        <f t="shared" si="3"/>
        <v>6840.9679662702711</v>
      </c>
      <c r="J10" s="93">
        <v>1</v>
      </c>
      <c r="K10" s="93">
        <f t="shared" si="4"/>
        <v>390</v>
      </c>
      <c r="L10" s="94">
        <f t="shared" si="5"/>
        <v>9263.8107876576596</v>
      </c>
      <c r="M10" s="129"/>
      <c r="N10" s="118"/>
      <c r="O10" s="128"/>
    </row>
    <row r="11" spans="2:15" x14ac:dyDescent="0.25">
      <c r="B11" s="3" t="s">
        <v>17</v>
      </c>
      <c r="C11" s="21">
        <v>40</v>
      </c>
      <c r="D11" s="5">
        <v>2396.5481481481484</v>
      </c>
      <c r="E11" s="22">
        <v>0.20519999999999999</v>
      </c>
      <c r="F11" s="5">
        <f t="shared" si="1"/>
        <v>2888.3198281481486</v>
      </c>
      <c r="G11" s="7">
        <f t="shared" si="0"/>
        <v>18.051998925925929</v>
      </c>
      <c r="H11" s="23">
        <f t="shared" si="2"/>
        <v>288</v>
      </c>
      <c r="I11" s="24">
        <f t="shared" si="3"/>
        <v>5198.975690666668</v>
      </c>
      <c r="J11" s="8">
        <v>1</v>
      </c>
      <c r="K11" s="8">
        <f t="shared" si="4"/>
        <v>390</v>
      </c>
      <c r="L11" s="9">
        <f t="shared" si="5"/>
        <v>7040.2795811111127</v>
      </c>
      <c r="M11" s="129"/>
      <c r="N11" s="118"/>
      <c r="O11" s="128"/>
    </row>
    <row r="12" spans="2:15" x14ac:dyDescent="0.25">
      <c r="B12" s="28" t="s">
        <v>18</v>
      </c>
      <c r="C12" s="26">
        <v>39</v>
      </c>
      <c r="D12" s="15">
        <v>1465.0137037037039</v>
      </c>
      <c r="E12" s="16">
        <v>0.20519999999999999</v>
      </c>
      <c r="F12" s="15">
        <f t="shared" si="1"/>
        <v>1765.634515703704</v>
      </c>
      <c r="G12" s="17">
        <f t="shared" si="0"/>
        <v>11.318169972459641</v>
      </c>
      <c r="H12" s="18">
        <f>72*4*9</f>
        <v>2592</v>
      </c>
      <c r="I12" s="19">
        <f t="shared" si="3"/>
        <v>29336.696568615389</v>
      </c>
      <c r="J12" s="93">
        <v>9</v>
      </c>
      <c r="K12" s="93">
        <f t="shared" si="4"/>
        <v>3510</v>
      </c>
      <c r="L12" s="94">
        <f t="shared" si="5"/>
        <v>39726.776603333339</v>
      </c>
      <c r="M12" s="129"/>
      <c r="N12" s="118"/>
      <c r="O12" s="128"/>
    </row>
    <row r="13" spans="2:15" ht="22.5" x14ac:dyDescent="0.25">
      <c r="B13" s="29" t="s">
        <v>19</v>
      </c>
      <c r="C13" s="25">
        <v>39</v>
      </c>
      <c r="D13" s="5">
        <v>1465.0137037037039</v>
      </c>
      <c r="E13" s="22">
        <v>0.20519999999999999</v>
      </c>
      <c r="F13" s="5">
        <f t="shared" si="1"/>
        <v>1765.634515703704</v>
      </c>
      <c r="G13" s="7">
        <f t="shared" si="0"/>
        <v>11.318169972459641</v>
      </c>
      <c r="H13" s="23">
        <f>72*4</f>
        <v>288</v>
      </c>
      <c r="I13" s="24">
        <f t="shared" si="3"/>
        <v>3259.6329520683767</v>
      </c>
      <c r="J13" s="8">
        <v>2</v>
      </c>
      <c r="K13" s="8">
        <f t="shared" si="4"/>
        <v>780</v>
      </c>
      <c r="L13" s="9">
        <f t="shared" si="5"/>
        <v>8828.1725785185208</v>
      </c>
      <c r="M13" s="129"/>
      <c r="N13" s="118"/>
      <c r="O13" s="128"/>
    </row>
    <row r="14" spans="2:15" ht="21.75" customHeight="1" x14ac:dyDescent="0.25">
      <c r="B14" s="28" t="s">
        <v>20</v>
      </c>
      <c r="C14" s="26">
        <v>44</v>
      </c>
      <c r="D14" s="15">
        <v>959.49814814814818</v>
      </c>
      <c r="E14" s="16">
        <v>0.20519999999999999</v>
      </c>
      <c r="F14" s="15">
        <f t="shared" si="1"/>
        <v>1156.3871681481482</v>
      </c>
      <c r="G14" s="17">
        <f t="shared" si="0"/>
        <v>6.5703816372053874</v>
      </c>
      <c r="H14" s="18">
        <f t="shared" ref="H14:H16" si="6">72*4</f>
        <v>288</v>
      </c>
      <c r="I14" s="19">
        <f t="shared" si="3"/>
        <v>1892.2699115151515</v>
      </c>
      <c r="J14" s="93">
        <v>4</v>
      </c>
      <c r="K14" s="93">
        <f t="shared" si="4"/>
        <v>1560</v>
      </c>
      <c r="L14" s="94">
        <f t="shared" si="5"/>
        <v>10249.795354040405</v>
      </c>
      <c r="M14" s="129"/>
      <c r="N14" s="118"/>
      <c r="O14" s="128"/>
    </row>
    <row r="15" spans="2:15" x14ac:dyDescent="0.25">
      <c r="B15" s="3" t="s">
        <v>21</v>
      </c>
      <c r="C15" s="30">
        <v>42.555555555555564</v>
      </c>
      <c r="D15" s="5">
        <v>2746.4980626780621</v>
      </c>
      <c r="E15" s="22">
        <v>0.20519999999999999</v>
      </c>
      <c r="F15" s="5">
        <f t="shared" si="1"/>
        <v>3310.0794651396004</v>
      </c>
      <c r="G15" s="7">
        <f t="shared" si="0"/>
        <v>19.445636544553786</v>
      </c>
      <c r="H15" s="23">
        <f t="shared" si="6"/>
        <v>288</v>
      </c>
      <c r="I15" s="24">
        <f t="shared" si="3"/>
        <v>5600.3433248314905</v>
      </c>
      <c r="J15" s="8">
        <v>1</v>
      </c>
      <c r="K15" s="8">
        <f t="shared" si="4"/>
        <v>390</v>
      </c>
      <c r="L15" s="9">
        <f t="shared" si="5"/>
        <v>7583.7982523759765</v>
      </c>
      <c r="M15" s="129"/>
      <c r="N15" s="118"/>
      <c r="O15" s="128"/>
    </row>
    <row r="16" spans="2:15" x14ac:dyDescent="0.25">
      <c r="B16" s="13" t="s">
        <v>22</v>
      </c>
      <c r="C16" s="31">
        <v>42.555555555555564</v>
      </c>
      <c r="D16" s="15">
        <v>2746.4980626780621</v>
      </c>
      <c r="E16" s="16">
        <v>0.20519999999999999</v>
      </c>
      <c r="F16" s="15">
        <f t="shared" si="1"/>
        <v>3310.0794651396004</v>
      </c>
      <c r="G16" s="17">
        <f t="shared" si="0"/>
        <v>19.445636544553786</v>
      </c>
      <c r="H16" s="18">
        <f t="shared" si="6"/>
        <v>288</v>
      </c>
      <c r="I16" s="19">
        <f t="shared" si="3"/>
        <v>5600.3433248314905</v>
      </c>
      <c r="J16" s="93">
        <v>1</v>
      </c>
      <c r="K16" s="93">
        <f t="shared" si="4"/>
        <v>390</v>
      </c>
      <c r="L16" s="94">
        <f t="shared" si="5"/>
        <v>7583.7982523759765</v>
      </c>
      <c r="M16" s="129"/>
      <c r="N16" s="118"/>
      <c r="O16" s="128"/>
    </row>
    <row r="17" spans="2:15" x14ac:dyDescent="0.25">
      <c r="B17" s="3" t="s">
        <v>23</v>
      </c>
      <c r="C17" s="30">
        <v>42.555555555555564</v>
      </c>
      <c r="D17" s="5">
        <v>4992.2751851851854</v>
      </c>
      <c r="E17" s="22">
        <v>0.20519999999999999</v>
      </c>
      <c r="F17" s="5">
        <f t="shared" si="1"/>
        <v>6016.6900531851852</v>
      </c>
      <c r="G17" s="7">
        <f t="shared" si="0"/>
        <v>35.346090390774577</v>
      </c>
      <c r="H17" s="23">
        <f>44*4</f>
        <v>176</v>
      </c>
      <c r="I17" s="24">
        <f t="shared" si="3"/>
        <v>6220.9119087763256</v>
      </c>
      <c r="J17" s="8">
        <v>1</v>
      </c>
      <c r="K17" s="8">
        <f>J17*176</f>
        <v>176</v>
      </c>
      <c r="L17" s="9">
        <f t="shared" si="5"/>
        <v>6220.9119087763256</v>
      </c>
      <c r="M17" s="129"/>
      <c r="N17" s="118"/>
      <c r="O17" s="128"/>
    </row>
    <row r="18" spans="2:15" x14ac:dyDescent="0.25">
      <c r="B18" s="13" t="s">
        <v>24</v>
      </c>
      <c r="C18" s="26">
        <v>43</v>
      </c>
      <c r="D18" s="15">
        <v>1040.6685185185186</v>
      </c>
      <c r="E18" s="16">
        <v>0.20519999999999999</v>
      </c>
      <c r="F18" s="15">
        <f t="shared" si="1"/>
        <v>1254.2136985185186</v>
      </c>
      <c r="G18" s="17">
        <f t="shared" si="0"/>
        <v>7.2919401076658064</v>
      </c>
      <c r="H18" s="18">
        <f>72*4</f>
        <v>288</v>
      </c>
      <c r="I18" s="19">
        <f t="shared" si="3"/>
        <v>2100.0787510077521</v>
      </c>
      <c r="J18" s="93">
        <v>2</v>
      </c>
      <c r="K18" s="93">
        <f t="shared" si="4"/>
        <v>780</v>
      </c>
      <c r="L18" s="94">
        <f t="shared" si="5"/>
        <v>5687.7132839793294</v>
      </c>
      <c r="M18" s="129"/>
      <c r="N18" s="118"/>
      <c r="O18" s="128"/>
    </row>
    <row r="19" spans="2:15" x14ac:dyDescent="0.25">
      <c r="B19" s="3" t="s">
        <v>25</v>
      </c>
      <c r="C19" s="32">
        <v>41</v>
      </c>
      <c r="D19" s="5">
        <v>1454.9833333333333</v>
      </c>
      <c r="E19" s="22">
        <v>0.20519999999999999</v>
      </c>
      <c r="F19" s="5">
        <f t="shared" si="1"/>
        <v>1753.5459133333334</v>
      </c>
      <c r="G19" s="7">
        <f t="shared" si="0"/>
        <v>10.692353130081301</v>
      </c>
      <c r="H19" s="23">
        <f>44*4</f>
        <v>176</v>
      </c>
      <c r="I19" s="24">
        <f t="shared" si="3"/>
        <v>1881.854150894309</v>
      </c>
      <c r="J19" s="8">
        <v>2</v>
      </c>
      <c r="K19" s="8">
        <f>J19*176</f>
        <v>352</v>
      </c>
      <c r="L19" s="9">
        <f t="shared" si="5"/>
        <v>3763.708301788618</v>
      </c>
      <c r="M19" s="129"/>
      <c r="N19" s="118"/>
      <c r="O19" s="128"/>
    </row>
    <row r="20" spans="2:15" x14ac:dyDescent="0.25">
      <c r="B20" s="13" t="s">
        <v>26</v>
      </c>
      <c r="C20" s="26">
        <v>43</v>
      </c>
      <c r="D20" s="15">
        <v>1589.7944444444447</v>
      </c>
      <c r="E20" s="16">
        <v>0.20519999999999999</v>
      </c>
      <c r="F20" s="15">
        <f t="shared" si="1"/>
        <v>1916.0202644444448</v>
      </c>
      <c r="G20" s="17">
        <f t="shared" si="0"/>
        <v>11.1396527002584</v>
      </c>
      <c r="H20" s="18">
        <f>72*4</f>
        <v>288</v>
      </c>
      <c r="I20" s="19">
        <f t="shared" si="3"/>
        <v>3208.2199776744192</v>
      </c>
      <c r="J20" s="93">
        <v>1</v>
      </c>
      <c r="K20" s="93">
        <f t="shared" si="4"/>
        <v>390</v>
      </c>
      <c r="L20" s="94">
        <f t="shared" si="5"/>
        <v>4344.4645531007764</v>
      </c>
      <c r="M20" s="129"/>
      <c r="N20" s="118"/>
      <c r="O20" s="128"/>
    </row>
    <row r="21" spans="2:15" x14ac:dyDescent="0.25">
      <c r="B21" s="3" t="s">
        <v>27</v>
      </c>
      <c r="C21" s="32">
        <v>42</v>
      </c>
      <c r="D21" s="5">
        <v>1108.0551851851851</v>
      </c>
      <c r="E21" s="22">
        <v>0.20519999999999999</v>
      </c>
      <c r="F21" s="5">
        <f t="shared" si="1"/>
        <v>1335.4281091851851</v>
      </c>
      <c r="G21" s="7">
        <f t="shared" si="0"/>
        <v>7.9489768403880063</v>
      </c>
      <c r="H21" s="23">
        <f t="shared" ref="H21:H22" si="7">72*4</f>
        <v>288</v>
      </c>
      <c r="I21" s="24">
        <f t="shared" si="3"/>
        <v>2289.3053300317461</v>
      </c>
      <c r="J21" s="8">
        <v>1</v>
      </c>
      <c r="K21" s="8">
        <f t="shared" si="4"/>
        <v>390</v>
      </c>
      <c r="L21" s="9">
        <f t="shared" si="5"/>
        <v>3100.1009677513225</v>
      </c>
      <c r="M21" s="129"/>
      <c r="N21" s="118"/>
      <c r="O21" s="128"/>
    </row>
    <row r="22" spans="2:15" x14ac:dyDescent="0.25">
      <c r="B22" s="13" t="s">
        <v>28</v>
      </c>
      <c r="C22" s="26">
        <v>44</v>
      </c>
      <c r="D22" s="15">
        <v>959.49814814814818</v>
      </c>
      <c r="E22" s="16">
        <v>0.20519999999999999</v>
      </c>
      <c r="F22" s="15">
        <f t="shared" si="1"/>
        <v>1156.3871681481482</v>
      </c>
      <c r="G22" s="17">
        <f t="shared" si="0"/>
        <v>6.5703816372053874</v>
      </c>
      <c r="H22" s="18">
        <f t="shared" si="7"/>
        <v>288</v>
      </c>
      <c r="I22" s="19">
        <f t="shared" si="3"/>
        <v>1892.2699115151515</v>
      </c>
      <c r="J22" s="93">
        <v>1</v>
      </c>
      <c r="K22" s="93">
        <f t="shared" si="4"/>
        <v>390</v>
      </c>
      <c r="L22" s="94">
        <f t="shared" si="5"/>
        <v>2562.4488385101013</v>
      </c>
      <c r="M22" s="129"/>
      <c r="N22" s="118"/>
      <c r="O22" s="128"/>
    </row>
    <row r="23" spans="2:15" x14ac:dyDescent="0.25">
      <c r="B23" s="162" t="s">
        <v>29</v>
      </c>
      <c r="C23" s="163"/>
      <c r="D23" s="163"/>
      <c r="E23" s="163"/>
      <c r="F23" s="163"/>
      <c r="G23" s="164"/>
      <c r="H23" s="23"/>
      <c r="I23" s="33">
        <f>(SUM(I5:I22))</f>
        <v>141758.99601563078</v>
      </c>
      <c r="J23" s="111"/>
      <c r="L23" s="124">
        <f>(SUM(L5:L22))</f>
        <v>205922.72105604017</v>
      </c>
      <c r="M23" s="120"/>
      <c r="N23" s="120"/>
      <c r="O23" s="120"/>
    </row>
    <row r="24" spans="2:15" x14ac:dyDescent="0.25">
      <c r="B24" s="162" t="s">
        <v>30</v>
      </c>
      <c r="C24" s="163"/>
      <c r="D24" s="163"/>
      <c r="E24" s="163"/>
      <c r="F24" s="163"/>
      <c r="G24" s="164"/>
      <c r="H24" s="81"/>
      <c r="I24" s="36">
        <f>I23/2730</f>
        <v>51.926372166897721</v>
      </c>
      <c r="J24" s="112"/>
      <c r="L24" s="126">
        <f>L23/2730</f>
        <v>75.429568152395674</v>
      </c>
      <c r="M24" s="120"/>
      <c r="N24" s="120"/>
      <c r="O24" s="120"/>
    </row>
    <row r="25" spans="2:15" x14ac:dyDescent="0.25">
      <c r="I25" s="113"/>
      <c r="J25" s="113"/>
      <c r="L25" s="136">
        <f>L24-I24</f>
        <v>23.503195985497953</v>
      </c>
    </row>
    <row r="26" spans="2:15" x14ac:dyDescent="0.25">
      <c r="B26" s="41" t="s">
        <v>32</v>
      </c>
      <c r="C26" s="78" t="s">
        <v>76</v>
      </c>
      <c r="D26" s="101" t="s">
        <v>75</v>
      </c>
    </row>
    <row r="27" spans="2:15" x14ac:dyDescent="0.25">
      <c r="B27" s="43"/>
      <c r="C27" s="44" t="s">
        <v>33</v>
      </c>
      <c r="D27" s="100" t="s">
        <v>33</v>
      </c>
    </row>
    <row r="28" spans="2:15" x14ac:dyDescent="0.25">
      <c r="B28" s="45" t="s">
        <v>34</v>
      </c>
      <c r="C28" s="46">
        <f>I23</f>
        <v>141758.99601563078</v>
      </c>
      <c r="D28" s="46">
        <f>L23</f>
        <v>205922.72105604017</v>
      </c>
    </row>
    <row r="29" spans="2:15" x14ac:dyDescent="0.25">
      <c r="B29" s="45" t="s">
        <v>35</v>
      </c>
      <c r="C29" s="46">
        <f>C28/2730</f>
        <v>51.926372166897721</v>
      </c>
      <c r="D29" s="46">
        <f>D28/2730</f>
        <v>75.429568152395674</v>
      </c>
    </row>
    <row r="30" spans="2:15" x14ac:dyDescent="0.25">
      <c r="B30" s="45" t="s">
        <v>36</v>
      </c>
      <c r="C30" s="48">
        <v>0.08</v>
      </c>
      <c r="D30" s="48">
        <v>0.08</v>
      </c>
    </row>
    <row r="31" spans="2:15" x14ac:dyDescent="0.25">
      <c r="B31" s="45" t="s">
        <v>37</v>
      </c>
      <c r="C31" s="48">
        <v>0.2</v>
      </c>
      <c r="D31" s="48">
        <v>0.2</v>
      </c>
    </row>
    <row r="32" spans="2:15" x14ac:dyDescent="0.25">
      <c r="B32" s="95" t="s">
        <v>74</v>
      </c>
      <c r="C32" s="96">
        <v>0</v>
      </c>
      <c r="D32" s="97">
        <v>5.8000000000000003E-2</v>
      </c>
      <c r="E32" s="137" t="s">
        <v>94</v>
      </c>
      <c r="F32" s="137"/>
    </row>
    <row r="33" spans="2:9" x14ac:dyDescent="0.25">
      <c r="B33" s="45" t="s">
        <v>38</v>
      </c>
      <c r="C33" s="49">
        <v>3.2000000000000001E-2</v>
      </c>
      <c r="D33" s="49">
        <v>3.2000000000000001E-2</v>
      </c>
    </row>
    <row r="34" spans="2:9" x14ac:dyDescent="0.25">
      <c r="B34" s="45" t="s">
        <v>39</v>
      </c>
      <c r="C34" s="48">
        <v>0.02</v>
      </c>
      <c r="D34" s="48">
        <v>0.02</v>
      </c>
    </row>
    <row r="35" spans="2:9" x14ac:dyDescent="0.25">
      <c r="B35" s="45" t="s">
        <v>40</v>
      </c>
      <c r="C35" s="50">
        <v>2.5000000000000001E-2</v>
      </c>
      <c r="D35" s="50">
        <v>2.5000000000000001E-2</v>
      </c>
    </row>
    <row r="36" spans="2:9" x14ac:dyDescent="0.25">
      <c r="B36" s="45" t="s">
        <v>41</v>
      </c>
      <c r="C36" s="49">
        <f>SUM(C30:C35)</f>
        <v>0.3570000000000001</v>
      </c>
      <c r="D36" s="49">
        <f>SUM(D30:D35)</f>
        <v>0.41500000000000004</v>
      </c>
    </row>
    <row r="37" spans="2:9" x14ac:dyDescent="0.25">
      <c r="B37" s="45" t="s">
        <v>42</v>
      </c>
      <c r="C37" s="46">
        <f>C28*C36</f>
        <v>50607.961577580201</v>
      </c>
      <c r="D37" s="46">
        <f>D28*D36</f>
        <v>85457.929238256678</v>
      </c>
    </row>
    <row r="38" spans="2:9" x14ac:dyDescent="0.25">
      <c r="B38" s="45" t="s">
        <v>43</v>
      </c>
      <c r="C38" s="46">
        <f>C28+C37</f>
        <v>192366.95759321097</v>
      </c>
      <c r="D38" s="46">
        <f>D28+D37</f>
        <v>291380.65029429685</v>
      </c>
    </row>
    <row r="39" spans="2:9" x14ac:dyDescent="0.25">
      <c r="B39" s="51" t="s">
        <v>44</v>
      </c>
      <c r="C39" s="52">
        <f>C29+C40</f>
        <v>70.464087030480215</v>
      </c>
      <c r="D39" s="52">
        <f>D29+D40</f>
        <v>106.73283893563988</v>
      </c>
    </row>
    <row r="40" spans="2:9" x14ac:dyDescent="0.25">
      <c r="B40" s="51" t="s">
        <v>45</v>
      </c>
      <c r="C40" s="52">
        <f>C36*C29</f>
        <v>18.53771486358249</v>
      </c>
      <c r="D40" s="52">
        <f>D36*D29</f>
        <v>31.303270783244209</v>
      </c>
    </row>
    <row r="42" spans="2:9" x14ac:dyDescent="0.25">
      <c r="B42" s="156" t="s">
        <v>46</v>
      </c>
      <c r="C42" s="156"/>
      <c r="D42" s="156"/>
      <c r="E42" s="156"/>
      <c r="F42" s="156"/>
      <c r="G42" s="156"/>
    </row>
    <row r="43" spans="2:9" x14ac:dyDescent="0.25">
      <c r="B43" s="160" t="s">
        <v>47</v>
      </c>
      <c r="C43" s="160" t="s">
        <v>48</v>
      </c>
      <c r="D43" s="160" t="s">
        <v>49</v>
      </c>
      <c r="E43" s="161" t="s">
        <v>10</v>
      </c>
      <c r="F43" s="161" t="s">
        <v>31</v>
      </c>
      <c r="G43" s="158" t="s">
        <v>86</v>
      </c>
    </row>
    <row r="44" spans="2:9" x14ac:dyDescent="0.25">
      <c r="B44" s="160"/>
      <c r="C44" s="160"/>
      <c r="D44" s="160"/>
      <c r="E44" s="161"/>
      <c r="F44" s="161"/>
      <c r="G44" s="159"/>
    </row>
    <row r="45" spans="2:9" x14ac:dyDescent="0.25">
      <c r="B45" s="40" t="s">
        <v>50</v>
      </c>
      <c r="C45" s="53">
        <v>13.74</v>
      </c>
      <c r="D45" s="1">
        <v>1527</v>
      </c>
      <c r="E45" s="54">
        <f>D45*C45*2</f>
        <v>41961.96</v>
      </c>
      <c r="F45" s="55">
        <f>E45/2730</f>
        <v>15.370681318681319</v>
      </c>
      <c r="G45" s="55">
        <f>F45</f>
        <v>15.370681318681319</v>
      </c>
    </row>
    <row r="46" spans="2:9" ht="15" customHeight="1" x14ac:dyDescent="0.25">
      <c r="B46" s="56" t="s">
        <v>51</v>
      </c>
      <c r="C46" s="57">
        <v>0.4</v>
      </c>
      <c r="D46" s="39">
        <v>16500</v>
      </c>
      <c r="E46" s="58">
        <f>C46*D46</f>
        <v>6600</v>
      </c>
      <c r="F46" s="59">
        <f>E46/2730</f>
        <v>2.4175824175824174</v>
      </c>
      <c r="G46" s="135">
        <f>10000/2730</f>
        <v>3.6630036630036629</v>
      </c>
      <c r="H46" s="137" t="s">
        <v>93</v>
      </c>
      <c r="I46" s="137"/>
    </row>
    <row r="47" spans="2:9" x14ac:dyDescent="0.25">
      <c r="B47" s="40" t="s">
        <v>52</v>
      </c>
      <c r="C47" s="53">
        <v>4000</v>
      </c>
      <c r="D47" s="1">
        <v>1</v>
      </c>
      <c r="E47" s="53"/>
      <c r="F47" s="55">
        <f>C47/2730</f>
        <v>1.4652014652014651</v>
      </c>
      <c r="G47" s="55">
        <f>F47</f>
        <v>1.4652014652014651</v>
      </c>
    </row>
    <row r="48" spans="2:9" x14ac:dyDescent="0.25">
      <c r="B48" s="56" t="s">
        <v>53</v>
      </c>
      <c r="C48" s="57">
        <v>1651.76</v>
      </c>
      <c r="D48" s="39"/>
      <c r="E48" s="60"/>
      <c r="F48" s="59">
        <f>C48/2730</f>
        <v>0.60504029304029305</v>
      </c>
      <c r="G48" s="135">
        <f>F48</f>
        <v>0.60504029304029305</v>
      </c>
    </row>
    <row r="49" spans="2:9" ht="14.25" customHeight="1" x14ac:dyDescent="0.25">
      <c r="B49" s="40" t="s">
        <v>54</v>
      </c>
      <c r="C49" s="53">
        <v>1182</v>
      </c>
      <c r="D49" s="1"/>
      <c r="E49" s="61"/>
      <c r="F49" s="55">
        <f>C49/2730</f>
        <v>0.43296703296703298</v>
      </c>
      <c r="G49" s="55">
        <f>F49</f>
        <v>0.43296703296703298</v>
      </c>
    </row>
    <row r="50" spans="2:9" x14ac:dyDescent="0.25">
      <c r="B50" s="56" t="s">
        <v>55</v>
      </c>
      <c r="C50" s="57">
        <v>2807.31</v>
      </c>
      <c r="D50" s="39"/>
      <c r="E50" s="60"/>
      <c r="F50" s="59">
        <f>C50/2730</f>
        <v>1.0283186813186813</v>
      </c>
      <c r="G50" s="135">
        <f>F50</f>
        <v>1.0283186813186813</v>
      </c>
    </row>
    <row r="51" spans="2:9" x14ac:dyDescent="0.25">
      <c r="B51" s="40" t="s">
        <v>1</v>
      </c>
      <c r="C51" s="53"/>
      <c r="D51" s="1"/>
      <c r="E51" s="61"/>
      <c r="F51" s="62">
        <f>SUM(F45:F50)</f>
        <v>21.319791208791205</v>
      </c>
      <c r="G51" s="62">
        <f>SUM(G45:G50)</f>
        <v>22.56521245421245</v>
      </c>
    </row>
    <row r="52" spans="2:9" x14ac:dyDescent="0.25">
      <c r="B52" s="63" t="s">
        <v>56</v>
      </c>
      <c r="C52" s="64">
        <f>2900*1100*0.008</f>
        <v>25520</v>
      </c>
      <c r="D52" s="65">
        <v>1</v>
      </c>
      <c r="E52" s="66">
        <f>C52</f>
        <v>25520</v>
      </c>
      <c r="F52" s="66">
        <f>E52/2730</f>
        <v>9.3479853479853485</v>
      </c>
      <c r="G52" s="135">
        <f>F52</f>
        <v>9.3479853479853485</v>
      </c>
    </row>
    <row r="54" spans="2:9" x14ac:dyDescent="0.25">
      <c r="B54" s="155" t="s">
        <v>57</v>
      </c>
      <c r="C54" s="156"/>
      <c r="D54" s="156"/>
      <c r="E54" s="156"/>
      <c r="F54" s="156"/>
      <c r="G54" s="156"/>
    </row>
    <row r="55" spans="2:9" x14ac:dyDescent="0.25">
      <c r="B55" s="160" t="s">
        <v>47</v>
      </c>
      <c r="C55" s="160" t="s">
        <v>48</v>
      </c>
      <c r="D55" s="160" t="s">
        <v>49</v>
      </c>
      <c r="E55" s="161" t="s">
        <v>10</v>
      </c>
      <c r="F55" s="161" t="s">
        <v>31</v>
      </c>
      <c r="G55" s="154" t="s">
        <v>31</v>
      </c>
    </row>
    <row r="56" spans="2:9" x14ac:dyDescent="0.25">
      <c r="B56" s="160"/>
      <c r="C56" s="160"/>
      <c r="D56" s="160"/>
      <c r="E56" s="161"/>
      <c r="F56" s="161"/>
      <c r="G56" s="154"/>
    </row>
    <row r="57" spans="2:9" x14ac:dyDescent="0.25">
      <c r="B57" s="40" t="s">
        <v>58</v>
      </c>
      <c r="C57" s="53">
        <v>3625</v>
      </c>
      <c r="D57" s="67">
        <v>1</v>
      </c>
      <c r="E57" s="53">
        <v>3625</v>
      </c>
      <c r="F57" s="55">
        <f>E57/2730</f>
        <v>1.3278388278388278</v>
      </c>
      <c r="G57" s="55">
        <f>F57</f>
        <v>1.3278388278388278</v>
      </c>
    </row>
    <row r="58" spans="2:9" x14ac:dyDescent="0.25">
      <c r="B58" s="40" t="s">
        <v>59</v>
      </c>
      <c r="C58" s="68">
        <v>0.1</v>
      </c>
      <c r="D58" s="1">
        <v>1</v>
      </c>
      <c r="E58" s="83"/>
      <c r="F58" s="55">
        <v>4.13</v>
      </c>
      <c r="G58" s="55">
        <f>SUM(G59:G64)</f>
        <v>15.000732600732601</v>
      </c>
      <c r="I58" s="134"/>
    </row>
    <row r="59" spans="2:9" x14ac:dyDescent="0.25">
      <c r="B59" s="40" t="s">
        <v>87</v>
      </c>
      <c r="C59" s="53">
        <v>5</v>
      </c>
      <c r="D59" s="1">
        <v>2730</v>
      </c>
      <c r="E59" s="83">
        <f t="shared" ref="E59:E64" si="8">C59*D59</f>
        <v>13650</v>
      </c>
      <c r="F59" s="55"/>
      <c r="G59" s="55">
        <f>E59/2730</f>
        <v>5</v>
      </c>
    </row>
    <row r="60" spans="2:9" x14ac:dyDescent="0.25">
      <c r="B60" s="40" t="s">
        <v>88</v>
      </c>
      <c r="C60" s="53">
        <v>250</v>
      </c>
      <c r="D60" s="1">
        <v>39</v>
      </c>
      <c r="E60" s="83">
        <f t="shared" si="8"/>
        <v>9750</v>
      </c>
      <c r="F60" s="55"/>
      <c r="G60" s="55">
        <f t="shared" ref="G60:G64" si="9">E60/2730</f>
        <v>3.5714285714285716</v>
      </c>
    </row>
    <row r="61" spans="2:9" x14ac:dyDescent="0.25">
      <c r="B61" s="40" t="s">
        <v>89</v>
      </c>
      <c r="C61" s="53">
        <f>C52*0.1</f>
        <v>2552</v>
      </c>
      <c r="D61" s="1">
        <v>1</v>
      </c>
      <c r="E61" s="83">
        <f t="shared" si="8"/>
        <v>2552</v>
      </c>
      <c r="F61" s="55"/>
      <c r="G61" s="55">
        <f t="shared" si="9"/>
        <v>0.93479853479853481</v>
      </c>
    </row>
    <row r="62" spans="2:9" x14ac:dyDescent="0.25">
      <c r="B62" s="40" t="s">
        <v>90</v>
      </c>
      <c r="C62" s="53">
        <v>8000</v>
      </c>
      <c r="D62" s="1">
        <v>1</v>
      </c>
      <c r="E62" s="83">
        <f t="shared" si="8"/>
        <v>8000</v>
      </c>
      <c r="F62" s="55"/>
      <c r="G62" s="55">
        <f t="shared" si="9"/>
        <v>2.9304029304029302</v>
      </c>
    </row>
    <row r="63" spans="2:9" x14ac:dyDescent="0.25">
      <c r="B63" s="40" t="s">
        <v>91</v>
      </c>
      <c r="C63" s="53">
        <v>3000</v>
      </c>
      <c r="D63" s="1">
        <v>1</v>
      </c>
      <c r="E63" s="83">
        <f t="shared" si="8"/>
        <v>3000</v>
      </c>
      <c r="F63" s="55"/>
      <c r="G63" s="55">
        <f t="shared" si="9"/>
        <v>1.098901098901099</v>
      </c>
    </row>
    <row r="64" spans="2:9" x14ac:dyDescent="0.25">
      <c r="B64" s="40" t="s">
        <v>92</v>
      </c>
      <c r="C64" s="53">
        <v>4000</v>
      </c>
      <c r="D64" s="1">
        <v>1</v>
      </c>
      <c r="E64" s="83">
        <f t="shared" si="8"/>
        <v>4000</v>
      </c>
      <c r="F64" s="55"/>
      <c r="G64" s="55">
        <f t="shared" si="9"/>
        <v>1.4652014652014651</v>
      </c>
    </row>
    <row r="65" spans="2:7" x14ac:dyDescent="0.25">
      <c r="B65" s="47" t="s">
        <v>1</v>
      </c>
      <c r="C65" s="53"/>
      <c r="D65" s="1"/>
      <c r="E65" s="69"/>
      <c r="F65" s="70">
        <v>5.45</v>
      </c>
      <c r="G65" s="70">
        <f>SUM(G57:G58)</f>
        <v>16.328571428571429</v>
      </c>
    </row>
    <row r="66" spans="2:7" x14ac:dyDescent="0.25">
      <c r="B66" s="122"/>
      <c r="C66" s="128"/>
      <c r="D66" s="128"/>
      <c r="E66" s="130"/>
      <c r="F66" s="131"/>
    </row>
    <row r="67" spans="2:7" x14ac:dyDescent="0.25">
      <c r="B67" s="79" t="s">
        <v>0</v>
      </c>
      <c r="C67" s="79" t="s">
        <v>60</v>
      </c>
      <c r="D67" s="79" t="s">
        <v>61</v>
      </c>
      <c r="E67" s="99" t="s">
        <v>77</v>
      </c>
    </row>
    <row r="68" spans="2:7" x14ac:dyDescent="0.25">
      <c r="B68" s="76" t="s">
        <v>62</v>
      </c>
      <c r="C68" s="77">
        <v>183.19</v>
      </c>
      <c r="D68" s="77">
        <v>176.38</v>
      </c>
      <c r="E68" s="77">
        <v>179.03</v>
      </c>
    </row>
    <row r="69" spans="2:7" x14ac:dyDescent="0.25">
      <c r="B69"/>
      <c r="C69" s="98"/>
      <c r="D69" s="37"/>
      <c r="E69"/>
    </row>
    <row r="70" spans="2:7" x14ac:dyDescent="0.25">
      <c r="B70" s="79" t="s">
        <v>0</v>
      </c>
      <c r="C70" s="79" t="s">
        <v>60</v>
      </c>
      <c r="D70" s="79" t="s">
        <v>61</v>
      </c>
      <c r="E70" s="80" t="s">
        <v>63</v>
      </c>
      <c r="F70" s="99" t="s">
        <v>60</v>
      </c>
      <c r="G70" s="99" t="s">
        <v>61</v>
      </c>
    </row>
    <row r="71" spans="2:7" x14ac:dyDescent="0.25">
      <c r="B71" s="40" t="s">
        <v>64</v>
      </c>
      <c r="C71" s="82">
        <v>59.891831385808779</v>
      </c>
      <c r="D71" s="83">
        <v>53.075334787169318</v>
      </c>
      <c r="E71" s="84">
        <v>49.42</v>
      </c>
      <c r="F71" s="9">
        <v>59.891831385808779</v>
      </c>
      <c r="G71" s="9">
        <v>53.075334787169297</v>
      </c>
    </row>
    <row r="72" spans="2:7" x14ac:dyDescent="0.25">
      <c r="B72" s="174" t="s">
        <v>65</v>
      </c>
      <c r="C72" s="176">
        <v>70.464087030480215</v>
      </c>
      <c r="D72" s="178">
        <v>70.464087030480215</v>
      </c>
      <c r="E72" s="167">
        <v>116.6</v>
      </c>
      <c r="F72" s="172">
        <f>D39</f>
        <v>106.73283893563988</v>
      </c>
      <c r="G72" s="172">
        <f>F72</f>
        <v>106.73283893563988</v>
      </c>
    </row>
    <row r="73" spans="2:7" x14ac:dyDescent="0.25">
      <c r="B73" s="175"/>
      <c r="C73" s="177"/>
      <c r="D73" s="179"/>
      <c r="E73" s="168"/>
      <c r="F73" s="173"/>
      <c r="G73" s="173"/>
    </row>
    <row r="74" spans="2:7" x14ac:dyDescent="0.25">
      <c r="B74" s="40" t="s">
        <v>66</v>
      </c>
      <c r="C74" s="82">
        <v>6.5993891636141653</v>
      </c>
      <c r="D74" s="83">
        <v>6.5993891636141653</v>
      </c>
      <c r="E74" s="84">
        <v>7.71</v>
      </c>
      <c r="F74" s="9">
        <v>6.5993891636141653</v>
      </c>
      <c r="G74" s="9">
        <v>6.5993891636141653</v>
      </c>
    </row>
    <row r="75" spans="2:7" x14ac:dyDescent="0.25">
      <c r="B75" s="40" t="s">
        <v>67</v>
      </c>
      <c r="C75" s="82">
        <v>10.115195</v>
      </c>
      <c r="D75" s="83">
        <v>10.115195</v>
      </c>
      <c r="E75" s="84">
        <v>16.7</v>
      </c>
      <c r="F75" s="94">
        <v>10.115195</v>
      </c>
      <c r="G75" s="94">
        <v>10.115195</v>
      </c>
    </row>
    <row r="76" spans="2:7" x14ac:dyDescent="0.25">
      <c r="B76" s="56" t="s">
        <v>68</v>
      </c>
      <c r="C76" s="87">
        <v>21.319791208791205</v>
      </c>
      <c r="D76" s="88">
        <v>21.319791208791205</v>
      </c>
      <c r="E76" s="167">
        <v>57.47</v>
      </c>
      <c r="F76" s="9">
        <f>G51</f>
        <v>22.56521245421245</v>
      </c>
      <c r="G76" s="9">
        <f>F76</f>
        <v>22.56521245421245</v>
      </c>
    </row>
    <row r="77" spans="2:7" x14ac:dyDescent="0.25">
      <c r="B77" s="56" t="s">
        <v>69</v>
      </c>
      <c r="C77" s="87">
        <v>5.4532394259651964</v>
      </c>
      <c r="D77" s="88">
        <v>5.4532394259651964</v>
      </c>
      <c r="E77" s="168"/>
      <c r="F77" s="94">
        <f>G65</f>
        <v>16.328571428571429</v>
      </c>
      <c r="G77" s="94">
        <f>F77</f>
        <v>16.328571428571429</v>
      </c>
    </row>
    <row r="78" spans="2:7" x14ac:dyDescent="0.25">
      <c r="B78" s="89" t="s">
        <v>70</v>
      </c>
      <c r="C78" s="90">
        <v>9.3479853479853485</v>
      </c>
      <c r="D78" s="91">
        <v>9.3479853479853485</v>
      </c>
      <c r="E78" s="92">
        <v>9.06</v>
      </c>
      <c r="F78" s="9">
        <v>9.3479853479853485</v>
      </c>
      <c r="G78" s="9">
        <v>9.3479853479853485</v>
      </c>
    </row>
    <row r="79" spans="2:7" x14ac:dyDescent="0.25">
      <c r="B79" s="76" t="s">
        <v>1</v>
      </c>
      <c r="C79" s="102">
        <v>183.19151856264492</v>
      </c>
      <c r="D79" s="103">
        <v>176.37502196400544</v>
      </c>
      <c r="E79" s="104">
        <v>256.98</v>
      </c>
      <c r="F79" s="105">
        <f>SUM(F71:F78)</f>
        <v>231.58102371583206</v>
      </c>
      <c r="G79" s="105">
        <f>SUM(G71:G78)</f>
        <v>224.76452711719256</v>
      </c>
    </row>
    <row r="80" spans="2:7" x14ac:dyDescent="0.25">
      <c r="B80" s="76" t="s">
        <v>71</v>
      </c>
      <c r="C80" s="106">
        <v>2.324481127545619E-2</v>
      </c>
      <c r="D80" s="106">
        <v>-1.4829794090345572E-2</v>
      </c>
      <c r="E80" s="107">
        <v>0.43540188795174006</v>
      </c>
      <c r="F80" s="108">
        <f>(F79/E68)-1</f>
        <v>0.29353194277960148</v>
      </c>
      <c r="G80" s="108">
        <f>(G79/E68)-1</f>
        <v>0.25545733741379961</v>
      </c>
    </row>
    <row r="81" spans="2:4" x14ac:dyDescent="0.25">
      <c r="D81" s="132"/>
    </row>
    <row r="82" spans="2:4" x14ac:dyDescent="0.25">
      <c r="B82" s="133"/>
      <c r="D82" s="134"/>
    </row>
  </sheetData>
  <mergeCells count="38">
    <mergeCell ref="E76:E77"/>
    <mergeCell ref="K3:K4"/>
    <mergeCell ref="L3:L4"/>
    <mergeCell ref="B2:L2"/>
    <mergeCell ref="J3:J4"/>
    <mergeCell ref="F72:F73"/>
    <mergeCell ref="G72:G73"/>
    <mergeCell ref="B55:B56"/>
    <mergeCell ref="C55:C56"/>
    <mergeCell ref="D55:D56"/>
    <mergeCell ref="E55:E56"/>
    <mergeCell ref="F55:F56"/>
    <mergeCell ref="B72:B73"/>
    <mergeCell ref="C72:C73"/>
    <mergeCell ref="D72:D73"/>
    <mergeCell ref="E72:E73"/>
    <mergeCell ref="O3:O4"/>
    <mergeCell ref="B23:G23"/>
    <mergeCell ref="B24:G24"/>
    <mergeCell ref="B3:B4"/>
    <mergeCell ref="C3:C4"/>
    <mergeCell ref="D3:D4"/>
    <mergeCell ref="E3:E4"/>
    <mergeCell ref="F3:F4"/>
    <mergeCell ref="G3:G4"/>
    <mergeCell ref="H3:H4"/>
    <mergeCell ref="I3:I4"/>
    <mergeCell ref="G55:G56"/>
    <mergeCell ref="B54:G54"/>
    <mergeCell ref="B42:G42"/>
    <mergeCell ref="M3:M4"/>
    <mergeCell ref="N3:N4"/>
    <mergeCell ref="G43:G44"/>
    <mergeCell ref="B43:B44"/>
    <mergeCell ref="C43:C44"/>
    <mergeCell ref="D43:D44"/>
    <mergeCell ref="E43:E44"/>
    <mergeCell ref="F43:F44"/>
  </mergeCells>
  <pageMargins left="0.23622047244094491" right="0.23622047244094491" top="1.5354330708661419" bottom="0.74803149606299213" header="0.31496062992125984" footer="0.31496062992125984"/>
  <pageSetup paperSize="9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2:P25"/>
  <sheetViews>
    <sheetView zoomScaleNormal="100" workbookViewId="0">
      <pane xSplit="2" ySplit="4" topLeftCell="I7" activePane="bottomRight" state="frozen"/>
      <selection pane="topRight" activeCell="C1" sqref="C1"/>
      <selection pane="bottomLeft" activeCell="A5" sqref="A5"/>
      <selection pane="bottomRight" activeCell="K14" sqref="K14"/>
    </sheetView>
  </sheetViews>
  <sheetFormatPr defaultColWidth="9" defaultRowHeight="15" x14ac:dyDescent="0.25"/>
  <cols>
    <col min="1" max="1" width="2.42578125" style="114" customWidth="1"/>
    <col min="2" max="2" width="33.42578125" style="114" customWidth="1"/>
    <col min="3" max="3" width="14.85546875" style="114" customWidth="1"/>
    <col min="4" max="5" width="12.7109375" style="114" customWidth="1"/>
    <col min="6" max="8" width="15" style="114" customWidth="1"/>
    <col min="9" max="9" width="15.7109375" style="114" bestFit="1" customWidth="1"/>
    <col min="10" max="10" width="1.42578125" style="120" customWidth="1"/>
    <col min="11" max="11" width="12.42578125" style="114" bestFit="1" customWidth="1"/>
    <col min="12" max="12" width="9.5703125" style="114" bestFit="1" customWidth="1"/>
    <col min="13" max="13" width="12" style="114" bestFit="1" customWidth="1"/>
    <col min="14" max="14" width="13.7109375" style="114" customWidth="1"/>
    <col min="15" max="15" width="22" style="114" customWidth="1"/>
    <col min="16" max="16" width="17.28515625" style="121" bestFit="1" customWidth="1"/>
    <col min="17" max="17" width="15.140625" style="114" customWidth="1"/>
    <col min="18" max="18" width="10" style="114" customWidth="1"/>
    <col min="19" max="16384" width="9" style="114"/>
  </cols>
  <sheetData>
    <row r="2" spans="2:16" x14ac:dyDescent="0.25">
      <c r="B2" s="183" t="s">
        <v>2</v>
      </c>
      <c r="C2" s="183"/>
      <c r="D2" s="183"/>
      <c r="E2" s="183"/>
      <c r="F2" s="183"/>
      <c r="G2" s="183"/>
      <c r="H2" s="183"/>
      <c r="I2" s="183"/>
      <c r="J2" s="115"/>
      <c r="K2" s="183" t="s">
        <v>85</v>
      </c>
      <c r="L2" s="183"/>
      <c r="M2" s="183"/>
      <c r="N2" s="183"/>
      <c r="O2" s="183"/>
    </row>
    <row r="3" spans="2:16" ht="15" customHeight="1" x14ac:dyDescent="0.25">
      <c r="B3" s="160" t="s">
        <v>3</v>
      </c>
      <c r="C3" s="161" t="s">
        <v>4</v>
      </c>
      <c r="D3" s="161" t="s">
        <v>5</v>
      </c>
      <c r="E3" s="165" t="s">
        <v>6</v>
      </c>
      <c r="F3" s="165" t="s">
        <v>7</v>
      </c>
      <c r="G3" s="161" t="s">
        <v>8</v>
      </c>
      <c r="H3" s="161" t="s">
        <v>9</v>
      </c>
      <c r="I3" s="161" t="s">
        <v>10</v>
      </c>
      <c r="J3" s="116"/>
      <c r="K3" s="169" t="s">
        <v>79</v>
      </c>
      <c r="L3" s="169" t="s">
        <v>78</v>
      </c>
      <c r="M3" s="169" t="s">
        <v>80</v>
      </c>
      <c r="N3" s="169" t="s">
        <v>81</v>
      </c>
      <c r="O3" s="169" t="s">
        <v>82</v>
      </c>
    </row>
    <row r="4" spans="2:16" ht="36.75" customHeight="1" x14ac:dyDescent="0.25">
      <c r="B4" s="160"/>
      <c r="C4" s="161"/>
      <c r="D4" s="161"/>
      <c r="E4" s="166"/>
      <c r="F4" s="166"/>
      <c r="G4" s="161"/>
      <c r="H4" s="161"/>
      <c r="I4" s="161"/>
      <c r="J4" s="116"/>
      <c r="K4" s="169"/>
      <c r="L4" s="169"/>
      <c r="M4" s="169"/>
      <c r="N4" s="169"/>
      <c r="O4" s="169"/>
    </row>
    <row r="5" spans="2:16" ht="15" customHeight="1" x14ac:dyDescent="0.25">
      <c r="B5" s="3" t="s">
        <v>11</v>
      </c>
      <c r="C5" s="4">
        <v>30</v>
      </c>
      <c r="D5" s="5">
        <v>7175.0066666666662</v>
      </c>
      <c r="E5" s="6">
        <v>0.20519999999999999</v>
      </c>
      <c r="F5" s="5">
        <f>D5*(1+E5)</f>
        <v>8647.3180346666668</v>
      </c>
      <c r="G5" s="7">
        <f t="shared" ref="G5:G22" si="0">F5/C5/4</f>
        <v>72.060983622222224</v>
      </c>
      <c r="H5" s="8">
        <f>72*4</f>
        <v>288</v>
      </c>
      <c r="I5" s="9">
        <f>G5*H5</f>
        <v>20753.563283200001</v>
      </c>
      <c r="J5" s="117"/>
      <c r="K5" s="9">
        <f>F5*0.0833</f>
        <v>720.32159228773332</v>
      </c>
      <c r="L5" s="9">
        <f>F5*0.1111</f>
        <v>960.71703365146675</v>
      </c>
      <c r="M5" s="9">
        <v>176</v>
      </c>
      <c r="N5" s="9">
        <v>120</v>
      </c>
      <c r="O5" s="9">
        <f>F5-SUM(K5:N5)</f>
        <v>6670.2794087274669</v>
      </c>
    </row>
    <row r="6" spans="2:16" x14ac:dyDescent="0.25">
      <c r="B6" s="13" t="s">
        <v>12</v>
      </c>
      <c r="C6" s="14">
        <v>39</v>
      </c>
      <c r="D6" s="15">
        <v>3228.4944444444441</v>
      </c>
      <c r="E6" s="16">
        <v>0.20519999999999999</v>
      </c>
      <c r="F6" s="15">
        <f t="shared" ref="F6:F22" si="1">D6*(1+E6)</f>
        <v>3890.981504444444</v>
      </c>
      <c r="G6" s="17">
        <f t="shared" si="0"/>
        <v>24.942189131054128</v>
      </c>
      <c r="H6" s="18">
        <f t="shared" ref="H6:H11" si="2">72*4</f>
        <v>288</v>
      </c>
      <c r="I6" s="19">
        <f t="shared" ref="I6:I22" si="3">G6*H6</f>
        <v>7183.3504697435892</v>
      </c>
      <c r="J6" s="118"/>
      <c r="K6" s="94">
        <f t="shared" ref="K6:K22" si="4">F6*0.0833</f>
        <v>324.11875932022218</v>
      </c>
      <c r="L6" s="94">
        <f t="shared" ref="L6:L22" si="5">F6*0.1111</f>
        <v>432.28804514377777</v>
      </c>
      <c r="M6" s="94">
        <v>176</v>
      </c>
      <c r="N6" s="94">
        <v>120</v>
      </c>
      <c r="O6" s="94">
        <f t="shared" ref="O6:O22" si="6">F6-SUM(K6:N6)</f>
        <v>2838.5746999804442</v>
      </c>
    </row>
    <row r="7" spans="2:16" x14ac:dyDescent="0.25">
      <c r="B7" s="3" t="s">
        <v>13</v>
      </c>
      <c r="C7" s="21">
        <v>30</v>
      </c>
      <c r="D7" s="5">
        <v>7175.0066666666662</v>
      </c>
      <c r="E7" s="22">
        <v>0.20519999999999999</v>
      </c>
      <c r="F7" s="5">
        <f t="shared" si="1"/>
        <v>8647.3180346666668</v>
      </c>
      <c r="G7" s="7">
        <f t="shared" si="0"/>
        <v>72.060983622222224</v>
      </c>
      <c r="H7" s="23">
        <f t="shared" si="2"/>
        <v>288</v>
      </c>
      <c r="I7" s="24">
        <f t="shared" si="3"/>
        <v>20753.563283200001</v>
      </c>
      <c r="J7" s="118"/>
      <c r="K7" s="9">
        <f t="shared" si="4"/>
        <v>720.32159228773332</v>
      </c>
      <c r="L7" s="9">
        <f t="shared" si="5"/>
        <v>960.71703365146675</v>
      </c>
      <c r="M7" s="9">
        <v>176</v>
      </c>
      <c r="N7" s="9">
        <v>120</v>
      </c>
      <c r="O7" s="9">
        <f t="shared" si="6"/>
        <v>6670.2794087274669</v>
      </c>
    </row>
    <row r="8" spans="2:16" x14ac:dyDescent="0.25">
      <c r="B8" s="13" t="s">
        <v>14</v>
      </c>
      <c r="C8" s="14">
        <v>39</v>
      </c>
      <c r="D8" s="15">
        <v>3228.4944444444441</v>
      </c>
      <c r="E8" s="16">
        <v>0.20519999999999999</v>
      </c>
      <c r="F8" s="15">
        <f t="shared" si="1"/>
        <v>3890.981504444444</v>
      </c>
      <c r="G8" s="17">
        <f t="shared" si="0"/>
        <v>24.942189131054128</v>
      </c>
      <c r="H8" s="18">
        <f t="shared" si="2"/>
        <v>288</v>
      </c>
      <c r="I8" s="19">
        <f t="shared" si="3"/>
        <v>7183.3504697435892</v>
      </c>
      <c r="J8" s="118"/>
      <c r="K8" s="94">
        <f t="shared" si="4"/>
        <v>324.11875932022218</v>
      </c>
      <c r="L8" s="94">
        <f t="shared" si="5"/>
        <v>432.28804514377777</v>
      </c>
      <c r="M8" s="94">
        <v>176</v>
      </c>
      <c r="N8" s="94">
        <v>120</v>
      </c>
      <c r="O8" s="94">
        <f t="shared" si="6"/>
        <v>2838.5746999804442</v>
      </c>
    </row>
    <row r="9" spans="2:16" x14ac:dyDescent="0.25">
      <c r="B9" s="3" t="s">
        <v>15</v>
      </c>
      <c r="C9" s="25">
        <v>37</v>
      </c>
      <c r="D9" s="5">
        <v>4504.1170370370364</v>
      </c>
      <c r="E9" s="22">
        <v>0.20519999999999999</v>
      </c>
      <c r="F9" s="5">
        <f t="shared" si="1"/>
        <v>5428.3618530370368</v>
      </c>
      <c r="G9" s="7">
        <f t="shared" si="0"/>
        <v>36.678120628628626</v>
      </c>
      <c r="H9" s="23">
        <f t="shared" si="2"/>
        <v>288</v>
      </c>
      <c r="I9" s="24">
        <f t="shared" si="3"/>
        <v>10563.298741045044</v>
      </c>
      <c r="J9" s="118"/>
      <c r="K9" s="9">
        <f t="shared" si="4"/>
        <v>452.18254235798514</v>
      </c>
      <c r="L9" s="9">
        <f t="shared" si="5"/>
        <v>603.09100187241484</v>
      </c>
      <c r="M9" s="9">
        <v>176</v>
      </c>
      <c r="N9" s="9">
        <v>120</v>
      </c>
      <c r="O9" s="9">
        <f t="shared" si="6"/>
        <v>4077.0883088066366</v>
      </c>
    </row>
    <row r="10" spans="2:16" x14ac:dyDescent="0.25">
      <c r="B10" s="13" t="s">
        <v>16</v>
      </c>
      <c r="C10" s="26">
        <v>37</v>
      </c>
      <c r="D10" s="15">
        <v>2916.9411111111112</v>
      </c>
      <c r="E10" s="16">
        <v>0.20519999999999999</v>
      </c>
      <c r="F10" s="15">
        <f t="shared" si="1"/>
        <v>3515.4974271111114</v>
      </c>
      <c r="G10" s="17">
        <f t="shared" si="0"/>
        <v>23.753360993993997</v>
      </c>
      <c r="H10" s="18">
        <f t="shared" si="2"/>
        <v>288</v>
      </c>
      <c r="I10" s="19">
        <f t="shared" si="3"/>
        <v>6840.9679662702711</v>
      </c>
      <c r="J10" s="118"/>
      <c r="K10" s="94">
        <f t="shared" si="4"/>
        <v>292.84093567835555</v>
      </c>
      <c r="L10" s="94">
        <f t="shared" si="5"/>
        <v>390.57176415204447</v>
      </c>
      <c r="M10" s="94">
        <v>176</v>
      </c>
      <c r="N10" s="94">
        <v>120</v>
      </c>
      <c r="O10" s="94">
        <f t="shared" si="6"/>
        <v>2536.0847272807114</v>
      </c>
    </row>
    <row r="11" spans="2:16" x14ac:dyDescent="0.25">
      <c r="B11" s="3" t="s">
        <v>17</v>
      </c>
      <c r="C11" s="21">
        <v>40</v>
      </c>
      <c r="D11" s="5">
        <v>2396.5481481481484</v>
      </c>
      <c r="E11" s="22">
        <v>0.20519999999999999</v>
      </c>
      <c r="F11" s="5">
        <f t="shared" si="1"/>
        <v>2888.3198281481486</v>
      </c>
      <c r="G11" s="7">
        <f t="shared" si="0"/>
        <v>18.051998925925929</v>
      </c>
      <c r="H11" s="23">
        <f t="shared" si="2"/>
        <v>288</v>
      </c>
      <c r="I11" s="24">
        <f t="shared" si="3"/>
        <v>5198.975690666668</v>
      </c>
      <c r="J11" s="118"/>
      <c r="K11" s="9">
        <f t="shared" si="4"/>
        <v>240.59704168474079</v>
      </c>
      <c r="L11" s="9">
        <f t="shared" si="5"/>
        <v>320.89233290725934</v>
      </c>
      <c r="M11" s="9">
        <v>176</v>
      </c>
      <c r="N11" s="9">
        <v>120</v>
      </c>
      <c r="O11" s="9">
        <f t="shared" si="6"/>
        <v>2030.8304535561485</v>
      </c>
    </row>
    <row r="12" spans="2:16" x14ac:dyDescent="0.25">
      <c r="B12" s="28" t="s">
        <v>18</v>
      </c>
      <c r="C12" s="26">
        <v>39</v>
      </c>
      <c r="D12" s="15">
        <v>1465.0137037037039</v>
      </c>
      <c r="E12" s="16">
        <v>0.20519999999999999</v>
      </c>
      <c r="F12" s="15">
        <f t="shared" si="1"/>
        <v>1765.634515703704</v>
      </c>
      <c r="G12" s="17">
        <f t="shared" si="0"/>
        <v>11.318169972459641</v>
      </c>
      <c r="H12" s="18">
        <f>72*4*9</f>
        <v>2592</v>
      </c>
      <c r="I12" s="19">
        <f t="shared" si="3"/>
        <v>29336.696568615389</v>
      </c>
      <c r="J12" s="118"/>
      <c r="K12" s="94">
        <f t="shared" si="4"/>
        <v>147.07735515811854</v>
      </c>
      <c r="L12" s="94">
        <f t="shared" si="5"/>
        <v>196.16199469468151</v>
      </c>
      <c r="M12" s="94">
        <v>176</v>
      </c>
      <c r="N12" s="94">
        <v>120</v>
      </c>
      <c r="O12" s="109">
        <f t="shared" si="6"/>
        <v>1126.395165850904</v>
      </c>
      <c r="P12" s="121" t="s">
        <v>84</v>
      </c>
    </row>
    <row r="13" spans="2:16" ht="22.5" x14ac:dyDescent="0.25">
      <c r="B13" s="29" t="s">
        <v>19</v>
      </c>
      <c r="C13" s="25">
        <v>39</v>
      </c>
      <c r="D13" s="5">
        <v>1465.0137037037039</v>
      </c>
      <c r="E13" s="22">
        <v>0.20519999999999999</v>
      </c>
      <c r="F13" s="5">
        <f t="shared" si="1"/>
        <v>1765.634515703704</v>
      </c>
      <c r="G13" s="7">
        <f t="shared" si="0"/>
        <v>11.318169972459641</v>
      </c>
      <c r="H13" s="23">
        <f>72*4</f>
        <v>288</v>
      </c>
      <c r="I13" s="24">
        <f t="shared" si="3"/>
        <v>3259.6329520683767</v>
      </c>
      <c r="J13" s="118"/>
      <c r="K13" s="9">
        <f t="shared" si="4"/>
        <v>147.07735515811854</v>
      </c>
      <c r="L13" s="9">
        <f t="shared" si="5"/>
        <v>196.16199469468151</v>
      </c>
      <c r="M13" s="9">
        <v>176</v>
      </c>
      <c r="N13" s="9">
        <v>120</v>
      </c>
      <c r="O13" s="110">
        <f t="shared" si="6"/>
        <v>1126.395165850904</v>
      </c>
      <c r="P13" s="121" t="s">
        <v>84</v>
      </c>
    </row>
    <row r="14" spans="2:16" ht="21.75" customHeight="1" x14ac:dyDescent="0.25">
      <c r="B14" s="28" t="s">
        <v>20</v>
      </c>
      <c r="C14" s="26">
        <v>44</v>
      </c>
      <c r="D14" s="15">
        <v>959.49814814814818</v>
      </c>
      <c r="E14" s="16">
        <v>0.20519999999999999</v>
      </c>
      <c r="F14" s="15">
        <f t="shared" si="1"/>
        <v>1156.3871681481482</v>
      </c>
      <c r="G14" s="17">
        <f t="shared" si="0"/>
        <v>6.5703816372053874</v>
      </c>
      <c r="H14" s="18">
        <f t="shared" ref="H14:H16" si="7">72*4</f>
        <v>288</v>
      </c>
      <c r="I14" s="19">
        <f t="shared" si="3"/>
        <v>1892.2699115151515</v>
      </c>
      <c r="J14" s="118"/>
      <c r="K14" s="94">
        <f t="shared" si="4"/>
        <v>96.327051106740754</v>
      </c>
      <c r="L14" s="94">
        <f t="shared" si="5"/>
        <v>128.47461438125927</v>
      </c>
      <c r="M14" s="94">
        <v>176</v>
      </c>
      <c r="N14" s="94">
        <v>120</v>
      </c>
      <c r="O14" s="109">
        <f t="shared" si="6"/>
        <v>635.58550266014822</v>
      </c>
      <c r="P14" s="121" t="s">
        <v>83</v>
      </c>
    </row>
    <row r="15" spans="2:16" x14ac:dyDescent="0.25">
      <c r="B15" s="3" t="s">
        <v>21</v>
      </c>
      <c r="C15" s="30">
        <v>42.555555555555564</v>
      </c>
      <c r="D15" s="5">
        <v>2746.4980626780621</v>
      </c>
      <c r="E15" s="22">
        <v>0.20519999999999999</v>
      </c>
      <c r="F15" s="5">
        <f t="shared" si="1"/>
        <v>3310.0794651396004</v>
      </c>
      <c r="G15" s="7">
        <f t="shared" si="0"/>
        <v>19.445636544553786</v>
      </c>
      <c r="H15" s="23">
        <f t="shared" si="7"/>
        <v>288</v>
      </c>
      <c r="I15" s="24">
        <f t="shared" si="3"/>
        <v>5600.3433248314905</v>
      </c>
      <c r="J15" s="118"/>
      <c r="K15" s="9">
        <f t="shared" si="4"/>
        <v>275.72961944612871</v>
      </c>
      <c r="L15" s="9">
        <f t="shared" si="5"/>
        <v>367.74982857700962</v>
      </c>
      <c r="M15" s="9">
        <v>176</v>
      </c>
      <c r="N15" s="9">
        <v>120</v>
      </c>
      <c r="O15" s="9">
        <f t="shared" si="6"/>
        <v>2370.6000171164624</v>
      </c>
    </row>
    <row r="16" spans="2:16" x14ac:dyDescent="0.25">
      <c r="B16" s="13" t="s">
        <v>22</v>
      </c>
      <c r="C16" s="31">
        <v>42.555555555555564</v>
      </c>
      <c r="D16" s="15">
        <v>2746.4980626780621</v>
      </c>
      <c r="E16" s="16">
        <v>0.20519999999999999</v>
      </c>
      <c r="F16" s="15">
        <f t="shared" si="1"/>
        <v>3310.0794651396004</v>
      </c>
      <c r="G16" s="17">
        <f t="shared" si="0"/>
        <v>19.445636544553786</v>
      </c>
      <c r="H16" s="18">
        <f t="shared" si="7"/>
        <v>288</v>
      </c>
      <c r="I16" s="19">
        <f t="shared" si="3"/>
        <v>5600.3433248314905</v>
      </c>
      <c r="J16" s="118"/>
      <c r="K16" s="94">
        <f t="shared" si="4"/>
        <v>275.72961944612871</v>
      </c>
      <c r="L16" s="94">
        <f t="shared" si="5"/>
        <v>367.74982857700962</v>
      </c>
      <c r="M16" s="94">
        <v>176</v>
      </c>
      <c r="N16" s="94">
        <v>120</v>
      </c>
      <c r="O16" s="94">
        <f t="shared" si="6"/>
        <v>2370.6000171164624</v>
      </c>
    </row>
    <row r="17" spans="2:16" x14ac:dyDescent="0.25">
      <c r="B17" s="3" t="s">
        <v>23</v>
      </c>
      <c r="C17" s="30">
        <v>42.555555555555564</v>
      </c>
      <c r="D17" s="5">
        <v>4992.2751851851854</v>
      </c>
      <c r="E17" s="22">
        <v>0.20519999999999999</v>
      </c>
      <c r="F17" s="5">
        <f t="shared" si="1"/>
        <v>6016.6900531851852</v>
      </c>
      <c r="G17" s="7">
        <f t="shared" si="0"/>
        <v>35.346090390774577</v>
      </c>
      <c r="H17" s="23">
        <f>44*4</f>
        <v>176</v>
      </c>
      <c r="I17" s="24">
        <f t="shared" si="3"/>
        <v>6220.9119087763256</v>
      </c>
      <c r="J17" s="118"/>
      <c r="K17" s="9">
        <f t="shared" si="4"/>
        <v>501.19028143032591</v>
      </c>
      <c r="L17" s="9">
        <f t="shared" si="5"/>
        <v>668.45426490887405</v>
      </c>
      <c r="M17" s="9">
        <v>176</v>
      </c>
      <c r="N17" s="9">
        <v>120</v>
      </c>
      <c r="O17" s="9">
        <f t="shared" si="6"/>
        <v>4551.0455068459851</v>
      </c>
    </row>
    <row r="18" spans="2:16" x14ac:dyDescent="0.25">
      <c r="B18" s="13" t="s">
        <v>24</v>
      </c>
      <c r="C18" s="26">
        <v>43</v>
      </c>
      <c r="D18" s="15">
        <v>1040.6685185185186</v>
      </c>
      <c r="E18" s="16">
        <v>0.20519999999999999</v>
      </c>
      <c r="F18" s="15">
        <f t="shared" si="1"/>
        <v>1254.2136985185186</v>
      </c>
      <c r="G18" s="17">
        <f t="shared" si="0"/>
        <v>7.2919401076658064</v>
      </c>
      <c r="H18" s="18">
        <f>72*4</f>
        <v>288</v>
      </c>
      <c r="I18" s="19">
        <f t="shared" si="3"/>
        <v>2100.0787510077521</v>
      </c>
      <c r="J18" s="118"/>
      <c r="K18" s="94">
        <f t="shared" si="4"/>
        <v>104.4760010865926</v>
      </c>
      <c r="L18" s="94">
        <f t="shared" si="5"/>
        <v>139.34314190540744</v>
      </c>
      <c r="M18" s="94">
        <v>176</v>
      </c>
      <c r="N18" s="94">
        <v>120</v>
      </c>
      <c r="O18" s="109">
        <f t="shared" si="6"/>
        <v>714.39455552651862</v>
      </c>
      <c r="P18" s="121" t="s">
        <v>83</v>
      </c>
    </row>
    <row r="19" spans="2:16" x14ac:dyDescent="0.25">
      <c r="B19" s="3" t="s">
        <v>25</v>
      </c>
      <c r="C19" s="32">
        <v>41</v>
      </c>
      <c r="D19" s="5">
        <v>1454.9833333333333</v>
      </c>
      <c r="E19" s="22">
        <v>0.20519999999999999</v>
      </c>
      <c r="F19" s="5">
        <f t="shared" si="1"/>
        <v>1753.5459133333334</v>
      </c>
      <c r="G19" s="7">
        <f t="shared" si="0"/>
        <v>10.692353130081301</v>
      </c>
      <c r="H19" s="23">
        <f>44*4</f>
        <v>176</v>
      </c>
      <c r="I19" s="24">
        <f t="shared" si="3"/>
        <v>1881.854150894309</v>
      </c>
      <c r="J19" s="118"/>
      <c r="K19" s="9">
        <f t="shared" si="4"/>
        <v>146.07037458066668</v>
      </c>
      <c r="L19" s="9">
        <f t="shared" si="5"/>
        <v>194.81895097133335</v>
      </c>
      <c r="M19" s="9">
        <v>176</v>
      </c>
      <c r="N19" s="9">
        <v>120</v>
      </c>
      <c r="O19" s="9">
        <f t="shared" si="6"/>
        <v>1116.6565877813332</v>
      </c>
    </row>
    <row r="20" spans="2:16" x14ac:dyDescent="0.25">
      <c r="B20" s="13" t="s">
        <v>26</v>
      </c>
      <c r="C20" s="26">
        <v>43</v>
      </c>
      <c r="D20" s="15">
        <v>1589.7944444444447</v>
      </c>
      <c r="E20" s="16">
        <v>0.20519999999999999</v>
      </c>
      <c r="F20" s="15">
        <f t="shared" si="1"/>
        <v>1916.0202644444448</v>
      </c>
      <c r="G20" s="17">
        <f t="shared" si="0"/>
        <v>11.1396527002584</v>
      </c>
      <c r="H20" s="18">
        <f>72*4</f>
        <v>288</v>
      </c>
      <c r="I20" s="19">
        <f t="shared" si="3"/>
        <v>3208.2199776744192</v>
      </c>
      <c r="J20" s="118"/>
      <c r="K20" s="94">
        <f t="shared" si="4"/>
        <v>159.60448802822225</v>
      </c>
      <c r="L20" s="94">
        <f t="shared" si="5"/>
        <v>212.86985137977783</v>
      </c>
      <c r="M20" s="94">
        <v>176</v>
      </c>
      <c r="N20" s="94">
        <v>120</v>
      </c>
      <c r="O20" s="94">
        <f t="shared" si="6"/>
        <v>1247.5459250364447</v>
      </c>
    </row>
    <row r="21" spans="2:16" x14ac:dyDescent="0.25">
      <c r="B21" s="3" t="s">
        <v>27</v>
      </c>
      <c r="C21" s="32">
        <v>42</v>
      </c>
      <c r="D21" s="5">
        <v>1108.0551851851851</v>
      </c>
      <c r="E21" s="22">
        <v>0.20519999999999999</v>
      </c>
      <c r="F21" s="5">
        <f t="shared" si="1"/>
        <v>1335.4281091851851</v>
      </c>
      <c r="G21" s="7">
        <f t="shared" si="0"/>
        <v>7.9489768403880063</v>
      </c>
      <c r="H21" s="23">
        <f t="shared" ref="H21:H22" si="8">72*4</f>
        <v>288</v>
      </c>
      <c r="I21" s="24">
        <f t="shared" si="3"/>
        <v>2289.3053300317461</v>
      </c>
      <c r="J21" s="118"/>
      <c r="K21" s="9">
        <f t="shared" si="4"/>
        <v>111.24116149512592</v>
      </c>
      <c r="L21" s="9">
        <f t="shared" si="5"/>
        <v>148.36606293047407</v>
      </c>
      <c r="M21" s="9">
        <v>176</v>
      </c>
      <c r="N21" s="9">
        <v>120</v>
      </c>
      <c r="O21" s="110">
        <f t="shared" si="6"/>
        <v>779.82088475958517</v>
      </c>
      <c r="P21" s="121" t="s">
        <v>83</v>
      </c>
    </row>
    <row r="22" spans="2:16" x14ac:dyDescent="0.25">
      <c r="B22" s="13" t="s">
        <v>28</v>
      </c>
      <c r="C22" s="26">
        <v>44</v>
      </c>
      <c r="D22" s="15">
        <v>959.49814814814818</v>
      </c>
      <c r="E22" s="16">
        <v>0.20519999999999999</v>
      </c>
      <c r="F22" s="15">
        <f t="shared" si="1"/>
        <v>1156.3871681481482</v>
      </c>
      <c r="G22" s="17">
        <f t="shared" si="0"/>
        <v>6.5703816372053874</v>
      </c>
      <c r="H22" s="18">
        <f t="shared" si="8"/>
        <v>288</v>
      </c>
      <c r="I22" s="19">
        <f t="shared" si="3"/>
        <v>1892.2699115151515</v>
      </c>
      <c r="J22" s="118"/>
      <c r="K22" s="94">
        <f t="shared" si="4"/>
        <v>96.327051106740754</v>
      </c>
      <c r="L22" s="94">
        <f t="shared" si="5"/>
        <v>128.47461438125927</v>
      </c>
      <c r="M22" s="94">
        <v>176</v>
      </c>
      <c r="N22" s="94">
        <v>120</v>
      </c>
      <c r="O22" s="109">
        <f t="shared" si="6"/>
        <v>635.58550266014822</v>
      </c>
      <c r="P22" s="121" t="s">
        <v>83</v>
      </c>
    </row>
    <row r="23" spans="2:16" x14ac:dyDescent="0.25">
      <c r="B23" s="180" t="s">
        <v>29</v>
      </c>
      <c r="C23" s="181"/>
      <c r="D23" s="181"/>
      <c r="E23" s="181"/>
      <c r="F23" s="181"/>
      <c r="G23" s="182"/>
      <c r="H23" s="123"/>
      <c r="I23" s="124">
        <f>(SUM(I5:I22))</f>
        <v>141758.99601563078</v>
      </c>
      <c r="J23" s="111"/>
      <c r="K23" s="111"/>
      <c r="M23" s="120"/>
      <c r="N23" s="120"/>
    </row>
    <row r="24" spans="2:16" x14ac:dyDescent="0.25">
      <c r="B24" s="180" t="s">
        <v>30</v>
      </c>
      <c r="C24" s="181"/>
      <c r="D24" s="181"/>
      <c r="E24" s="181"/>
      <c r="F24" s="181"/>
      <c r="G24" s="182"/>
      <c r="H24" s="125"/>
      <c r="I24" s="126">
        <f>I23/2730</f>
        <v>51.926372166897721</v>
      </c>
      <c r="J24" s="112"/>
      <c r="K24" s="112"/>
      <c r="M24" s="120"/>
      <c r="N24" s="120"/>
    </row>
    <row r="25" spans="2:16" x14ac:dyDescent="0.25">
      <c r="I25" s="113"/>
      <c r="J25" s="119"/>
    </row>
  </sheetData>
  <mergeCells count="17">
    <mergeCell ref="K3:K4"/>
    <mergeCell ref="L3:L4"/>
    <mergeCell ref="K2:O2"/>
    <mergeCell ref="M3:M4"/>
    <mergeCell ref="N3:N4"/>
    <mergeCell ref="O3:O4"/>
    <mergeCell ref="B23:G23"/>
    <mergeCell ref="B24:G24"/>
    <mergeCell ref="B2:I2"/>
    <mergeCell ref="B3:B4"/>
    <mergeCell ref="C3:C4"/>
    <mergeCell ref="D3:D4"/>
    <mergeCell ref="E3:E4"/>
    <mergeCell ref="F3:F4"/>
    <mergeCell ref="G3:G4"/>
    <mergeCell ref="H3:H4"/>
    <mergeCell ref="I3:I4"/>
  </mergeCells>
  <pageMargins left="0.23622047244094491" right="0.23622047244094491" top="1.5354330708661419" bottom="0.74803149606299213" header="0.31496062992125984" footer="0.31496062992125984"/>
  <pageSetup paperSize="9" scale="2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2:N73"/>
  <sheetViews>
    <sheetView topLeftCell="A58" zoomScaleNormal="100" workbookViewId="0">
      <selection activeCell="L95" sqref="L95"/>
    </sheetView>
  </sheetViews>
  <sheetFormatPr defaultRowHeight="15" x14ac:dyDescent="0.25"/>
  <cols>
    <col min="2" max="2" width="33.42578125" customWidth="1"/>
    <col min="3" max="3" width="14.85546875" customWidth="1"/>
    <col min="4" max="5" width="12.7109375" customWidth="1"/>
    <col min="6" max="8" width="15" customWidth="1"/>
    <col min="9" max="9" width="15.7109375" bestFit="1" customWidth="1"/>
    <col min="10" max="10" width="15.140625" customWidth="1"/>
    <col min="11" max="11" width="16.28515625" bestFit="1" customWidth="1"/>
    <col min="12" max="12" width="12" bestFit="1" customWidth="1"/>
    <col min="13" max="13" width="13.7109375" customWidth="1"/>
    <col min="14" max="14" width="15.140625" customWidth="1"/>
    <col min="15" max="15" width="14.7109375" customWidth="1"/>
    <col min="16" max="16" width="15.140625" customWidth="1"/>
    <col min="17" max="17" width="10" customWidth="1"/>
  </cols>
  <sheetData>
    <row r="2" spans="1:14" x14ac:dyDescent="0.25">
      <c r="B2" s="183" t="s">
        <v>2</v>
      </c>
      <c r="C2" s="183"/>
      <c r="D2" s="183"/>
      <c r="E2" s="183"/>
      <c r="F2" s="183"/>
      <c r="G2" s="183"/>
      <c r="H2" s="183"/>
      <c r="I2" s="183"/>
    </row>
    <row r="3" spans="1:14" ht="15" customHeight="1" x14ac:dyDescent="0.25">
      <c r="B3" s="160" t="s">
        <v>3</v>
      </c>
      <c r="C3" s="161" t="s">
        <v>4</v>
      </c>
      <c r="D3" s="161" t="s">
        <v>5</v>
      </c>
      <c r="E3" s="165" t="s">
        <v>6</v>
      </c>
      <c r="F3" s="165" t="s">
        <v>7</v>
      </c>
      <c r="G3" s="161" t="s">
        <v>8</v>
      </c>
      <c r="H3" s="161" t="s">
        <v>9</v>
      </c>
      <c r="I3" s="161" t="s">
        <v>10</v>
      </c>
      <c r="K3" s="2"/>
      <c r="L3" s="184"/>
      <c r="M3" s="184"/>
      <c r="N3" s="184"/>
    </row>
    <row r="4" spans="1:14" ht="36.75" customHeight="1" x14ac:dyDescent="0.25">
      <c r="B4" s="160"/>
      <c r="C4" s="161"/>
      <c r="D4" s="161"/>
      <c r="E4" s="166"/>
      <c r="F4" s="166"/>
      <c r="G4" s="161"/>
      <c r="H4" s="161"/>
      <c r="I4" s="161"/>
      <c r="K4" s="2"/>
      <c r="L4" s="184"/>
      <c r="M4" s="184"/>
      <c r="N4" s="184"/>
    </row>
    <row r="5" spans="1:14" ht="15" customHeight="1" x14ac:dyDescent="0.25">
      <c r="B5" s="3" t="s">
        <v>11</v>
      </c>
      <c r="C5" s="4">
        <v>30</v>
      </c>
      <c r="D5" s="5">
        <v>7175.0066666666662</v>
      </c>
      <c r="E5" s="6">
        <v>0.20519999999999999</v>
      </c>
      <c r="F5" s="5">
        <f>D5*(1+E5)</f>
        <v>8647.3180346666668</v>
      </c>
      <c r="G5" s="7">
        <f t="shared" ref="G5:G22" si="0">F5/C5/4</f>
        <v>72.060983622222224</v>
      </c>
      <c r="H5" s="8">
        <f>72*4</f>
        <v>288</v>
      </c>
      <c r="I5" s="9">
        <f>G5*H5</f>
        <v>20753.563283200001</v>
      </c>
      <c r="K5" s="2"/>
      <c r="L5" s="10"/>
      <c r="M5" s="11"/>
      <c r="N5" s="12"/>
    </row>
    <row r="6" spans="1:14" x14ac:dyDescent="0.25">
      <c r="B6" s="13" t="s">
        <v>12</v>
      </c>
      <c r="C6" s="14">
        <v>39</v>
      </c>
      <c r="D6" s="15">
        <v>3228.4944444444441</v>
      </c>
      <c r="E6" s="16">
        <v>0.20519999999999999</v>
      </c>
      <c r="F6" s="15">
        <f t="shared" ref="F6:F22" si="1">D6*(1+E6)</f>
        <v>3890.981504444444</v>
      </c>
      <c r="G6" s="17">
        <f t="shared" si="0"/>
        <v>24.942189131054128</v>
      </c>
      <c r="H6" s="18">
        <f t="shared" ref="H6:H11" si="2">72*4</f>
        <v>288</v>
      </c>
      <c r="I6" s="19">
        <f t="shared" ref="I6:I22" si="3">G6*H6</f>
        <v>7183.3504697435892</v>
      </c>
      <c r="K6" s="2"/>
      <c r="L6" s="10"/>
      <c r="M6" s="11"/>
      <c r="N6" s="12"/>
    </row>
    <row r="7" spans="1:14" x14ac:dyDescent="0.25">
      <c r="A7" s="20"/>
      <c r="B7" s="3" t="s">
        <v>13</v>
      </c>
      <c r="C7" s="21">
        <v>30</v>
      </c>
      <c r="D7" s="5">
        <v>7175.0066666666662</v>
      </c>
      <c r="E7" s="22">
        <v>0.20519999999999999</v>
      </c>
      <c r="F7" s="5">
        <f t="shared" si="1"/>
        <v>8647.3180346666668</v>
      </c>
      <c r="G7" s="7">
        <f t="shared" si="0"/>
        <v>72.060983622222224</v>
      </c>
      <c r="H7" s="23">
        <f t="shared" si="2"/>
        <v>288</v>
      </c>
      <c r="I7" s="24">
        <f t="shared" si="3"/>
        <v>20753.563283200001</v>
      </c>
      <c r="K7" s="2"/>
      <c r="L7" s="10"/>
      <c r="M7" s="11"/>
      <c r="N7" s="12"/>
    </row>
    <row r="8" spans="1:14" x14ac:dyDescent="0.25">
      <c r="B8" s="13" t="s">
        <v>14</v>
      </c>
      <c r="C8" s="14">
        <v>39</v>
      </c>
      <c r="D8" s="15">
        <v>3228.4944444444441</v>
      </c>
      <c r="E8" s="16">
        <v>0.20519999999999999</v>
      </c>
      <c r="F8" s="15">
        <f t="shared" si="1"/>
        <v>3890.981504444444</v>
      </c>
      <c r="G8" s="17">
        <f t="shared" si="0"/>
        <v>24.942189131054128</v>
      </c>
      <c r="H8" s="18">
        <f t="shared" si="2"/>
        <v>288</v>
      </c>
      <c r="I8" s="19">
        <f t="shared" si="3"/>
        <v>7183.3504697435892</v>
      </c>
      <c r="K8" s="2"/>
      <c r="L8" s="10"/>
      <c r="M8" s="11"/>
      <c r="N8" s="12"/>
    </row>
    <row r="9" spans="1:14" x14ac:dyDescent="0.25">
      <c r="B9" s="3" t="s">
        <v>15</v>
      </c>
      <c r="C9" s="25">
        <v>37</v>
      </c>
      <c r="D9" s="5">
        <v>4504.1170370370364</v>
      </c>
      <c r="E9" s="22">
        <v>0.20519999999999999</v>
      </c>
      <c r="F9" s="5">
        <f t="shared" si="1"/>
        <v>5428.3618530370368</v>
      </c>
      <c r="G9" s="7">
        <f t="shared" si="0"/>
        <v>36.678120628628626</v>
      </c>
      <c r="H9" s="23">
        <f t="shared" si="2"/>
        <v>288</v>
      </c>
      <c r="I9" s="24">
        <f t="shared" si="3"/>
        <v>10563.298741045044</v>
      </c>
      <c r="K9" s="2"/>
      <c r="L9" s="10"/>
      <c r="M9" s="11"/>
      <c r="N9" s="12"/>
    </row>
    <row r="10" spans="1:14" x14ac:dyDescent="0.25">
      <c r="B10" s="13" t="s">
        <v>16</v>
      </c>
      <c r="C10" s="26">
        <v>37</v>
      </c>
      <c r="D10" s="15">
        <v>2916.9411111111112</v>
      </c>
      <c r="E10" s="16">
        <v>0.20519999999999999</v>
      </c>
      <c r="F10" s="15">
        <f t="shared" si="1"/>
        <v>3515.4974271111114</v>
      </c>
      <c r="G10" s="17">
        <f t="shared" si="0"/>
        <v>23.753360993993997</v>
      </c>
      <c r="H10" s="18">
        <f t="shared" si="2"/>
        <v>288</v>
      </c>
      <c r="I10" s="19">
        <f t="shared" si="3"/>
        <v>6840.9679662702711</v>
      </c>
      <c r="K10" s="2"/>
      <c r="L10" s="27"/>
      <c r="M10" s="11"/>
      <c r="N10" s="12"/>
    </row>
    <row r="11" spans="1:14" x14ac:dyDescent="0.25">
      <c r="B11" s="3" t="s">
        <v>17</v>
      </c>
      <c r="C11" s="21">
        <v>40</v>
      </c>
      <c r="D11" s="5">
        <v>2396.5481481481484</v>
      </c>
      <c r="E11" s="22">
        <v>0.20519999999999999</v>
      </c>
      <c r="F11" s="5">
        <f t="shared" si="1"/>
        <v>2888.3198281481486</v>
      </c>
      <c r="G11" s="7">
        <f t="shared" si="0"/>
        <v>18.051998925925929</v>
      </c>
      <c r="H11" s="23">
        <f t="shared" si="2"/>
        <v>288</v>
      </c>
      <c r="I11" s="24">
        <f t="shared" si="3"/>
        <v>5198.975690666668</v>
      </c>
      <c r="K11" s="2"/>
      <c r="L11" s="27"/>
      <c r="M11" s="11"/>
      <c r="N11" s="12"/>
    </row>
    <row r="12" spans="1:14" x14ac:dyDescent="0.25">
      <c r="B12" s="28" t="s">
        <v>18</v>
      </c>
      <c r="C12" s="26">
        <v>39</v>
      </c>
      <c r="D12" s="15">
        <v>1465.0137037037039</v>
      </c>
      <c r="E12" s="16">
        <v>0.20519999999999999</v>
      </c>
      <c r="F12" s="15">
        <f t="shared" si="1"/>
        <v>1765.634515703704</v>
      </c>
      <c r="G12" s="17">
        <f t="shared" si="0"/>
        <v>11.318169972459641</v>
      </c>
      <c r="H12" s="18">
        <f>72*4*9</f>
        <v>2592</v>
      </c>
      <c r="I12" s="19">
        <f t="shared" si="3"/>
        <v>29336.696568615389</v>
      </c>
      <c r="K12" s="2"/>
      <c r="L12" s="27"/>
      <c r="M12" s="11"/>
      <c r="N12" s="12"/>
    </row>
    <row r="13" spans="1:14" ht="22.5" x14ac:dyDescent="0.25">
      <c r="B13" s="29" t="s">
        <v>19</v>
      </c>
      <c r="C13" s="25">
        <v>39</v>
      </c>
      <c r="D13" s="5">
        <v>1465.0137037037039</v>
      </c>
      <c r="E13" s="22">
        <v>0.20519999999999999</v>
      </c>
      <c r="F13" s="5">
        <f t="shared" si="1"/>
        <v>1765.634515703704</v>
      </c>
      <c r="G13" s="7">
        <f t="shared" si="0"/>
        <v>11.318169972459641</v>
      </c>
      <c r="H13" s="23">
        <f>72*4</f>
        <v>288</v>
      </c>
      <c r="I13" s="24">
        <f t="shared" si="3"/>
        <v>3259.6329520683767</v>
      </c>
      <c r="K13" s="2"/>
      <c r="L13" s="27"/>
      <c r="M13" s="11"/>
      <c r="N13" s="12"/>
    </row>
    <row r="14" spans="1:14" ht="21.75" customHeight="1" x14ac:dyDescent="0.25">
      <c r="B14" s="28" t="s">
        <v>20</v>
      </c>
      <c r="C14" s="26">
        <v>44</v>
      </c>
      <c r="D14" s="15">
        <v>959.49814814814818</v>
      </c>
      <c r="E14" s="16">
        <v>0.20519999999999999</v>
      </c>
      <c r="F14" s="15">
        <f t="shared" si="1"/>
        <v>1156.3871681481482</v>
      </c>
      <c r="G14" s="17">
        <f t="shared" si="0"/>
        <v>6.5703816372053874</v>
      </c>
      <c r="H14" s="18">
        <f t="shared" ref="H14:H16" si="4">72*4</f>
        <v>288</v>
      </c>
      <c r="I14" s="19">
        <f t="shared" si="3"/>
        <v>1892.2699115151515</v>
      </c>
      <c r="K14" s="2"/>
      <c r="L14" s="27"/>
      <c r="M14" s="11"/>
      <c r="N14" s="12"/>
    </row>
    <row r="15" spans="1:14" x14ac:dyDescent="0.25">
      <c r="B15" s="3" t="s">
        <v>21</v>
      </c>
      <c r="C15" s="30">
        <v>42.555555555555564</v>
      </c>
      <c r="D15" s="5">
        <v>2746.4980626780621</v>
      </c>
      <c r="E15" s="22">
        <v>0.20519999999999999</v>
      </c>
      <c r="F15" s="5">
        <f t="shared" si="1"/>
        <v>3310.0794651396004</v>
      </c>
      <c r="G15" s="7">
        <f t="shared" si="0"/>
        <v>19.445636544553786</v>
      </c>
      <c r="H15" s="23">
        <f t="shared" si="4"/>
        <v>288</v>
      </c>
      <c r="I15" s="24">
        <f t="shared" si="3"/>
        <v>5600.3433248314905</v>
      </c>
      <c r="K15" s="2"/>
      <c r="L15" s="27"/>
      <c r="M15" s="11"/>
      <c r="N15" s="12"/>
    </row>
    <row r="16" spans="1:14" x14ac:dyDescent="0.25">
      <c r="B16" s="13" t="s">
        <v>22</v>
      </c>
      <c r="C16" s="31">
        <v>42.555555555555564</v>
      </c>
      <c r="D16" s="15">
        <v>2746.4980626780621</v>
      </c>
      <c r="E16" s="16">
        <v>0.20519999999999999</v>
      </c>
      <c r="F16" s="15">
        <f t="shared" si="1"/>
        <v>3310.0794651396004</v>
      </c>
      <c r="G16" s="17">
        <f t="shared" si="0"/>
        <v>19.445636544553786</v>
      </c>
      <c r="H16" s="18">
        <f t="shared" si="4"/>
        <v>288</v>
      </c>
      <c r="I16" s="19">
        <f t="shared" si="3"/>
        <v>5600.3433248314905</v>
      </c>
      <c r="K16" s="2"/>
      <c r="L16" s="27"/>
      <c r="M16" s="11"/>
      <c r="N16" s="12"/>
    </row>
    <row r="17" spans="2:14" x14ac:dyDescent="0.25">
      <c r="B17" s="3" t="s">
        <v>23</v>
      </c>
      <c r="C17" s="30">
        <v>42.555555555555564</v>
      </c>
      <c r="D17" s="5">
        <v>4992.2751851851854</v>
      </c>
      <c r="E17" s="22">
        <v>0.20519999999999999</v>
      </c>
      <c r="F17" s="5">
        <f t="shared" si="1"/>
        <v>6016.6900531851852</v>
      </c>
      <c r="G17" s="7">
        <f t="shared" si="0"/>
        <v>35.346090390774577</v>
      </c>
      <c r="H17" s="23">
        <f>44*4</f>
        <v>176</v>
      </c>
      <c r="I17" s="24">
        <f t="shared" si="3"/>
        <v>6220.9119087763256</v>
      </c>
      <c r="K17" s="2"/>
      <c r="L17" s="27"/>
      <c r="M17" s="11"/>
      <c r="N17" s="12"/>
    </row>
    <row r="18" spans="2:14" x14ac:dyDescent="0.25">
      <c r="B18" s="13" t="s">
        <v>24</v>
      </c>
      <c r="C18" s="26">
        <v>43</v>
      </c>
      <c r="D18" s="15">
        <v>1040.6685185185186</v>
      </c>
      <c r="E18" s="16">
        <v>0.20519999999999999</v>
      </c>
      <c r="F18" s="15">
        <f t="shared" si="1"/>
        <v>1254.2136985185186</v>
      </c>
      <c r="G18" s="17">
        <f t="shared" si="0"/>
        <v>7.2919401076658064</v>
      </c>
      <c r="H18" s="18">
        <f>72*4</f>
        <v>288</v>
      </c>
      <c r="I18" s="19">
        <f t="shared" si="3"/>
        <v>2100.0787510077521</v>
      </c>
      <c r="K18" s="2"/>
      <c r="L18" s="27"/>
      <c r="M18" s="11"/>
      <c r="N18" s="12"/>
    </row>
    <row r="19" spans="2:14" x14ac:dyDescent="0.25">
      <c r="B19" s="3" t="s">
        <v>25</v>
      </c>
      <c r="C19" s="32">
        <v>41</v>
      </c>
      <c r="D19" s="5">
        <v>1454.9833333333333</v>
      </c>
      <c r="E19" s="22">
        <v>0.20519999999999999</v>
      </c>
      <c r="F19" s="5">
        <f t="shared" si="1"/>
        <v>1753.5459133333334</v>
      </c>
      <c r="G19" s="7">
        <f t="shared" si="0"/>
        <v>10.692353130081301</v>
      </c>
      <c r="H19" s="23">
        <f>44*4</f>
        <v>176</v>
      </c>
      <c r="I19" s="24">
        <f t="shared" si="3"/>
        <v>1881.854150894309</v>
      </c>
      <c r="K19" s="2"/>
      <c r="L19" s="27"/>
      <c r="M19" s="11"/>
      <c r="N19" s="12"/>
    </row>
    <row r="20" spans="2:14" x14ac:dyDescent="0.25">
      <c r="B20" s="13" t="s">
        <v>26</v>
      </c>
      <c r="C20" s="26">
        <v>43</v>
      </c>
      <c r="D20" s="15">
        <v>1589.7944444444447</v>
      </c>
      <c r="E20" s="16">
        <v>0.20519999999999999</v>
      </c>
      <c r="F20" s="15">
        <f t="shared" si="1"/>
        <v>1916.0202644444448</v>
      </c>
      <c r="G20" s="17">
        <f t="shared" si="0"/>
        <v>11.1396527002584</v>
      </c>
      <c r="H20" s="18">
        <f>72*4</f>
        <v>288</v>
      </c>
      <c r="I20" s="19">
        <f t="shared" si="3"/>
        <v>3208.2199776744192</v>
      </c>
      <c r="K20" s="2"/>
      <c r="L20" s="27"/>
      <c r="M20" s="11"/>
      <c r="N20" s="12"/>
    </row>
    <row r="21" spans="2:14" x14ac:dyDescent="0.25">
      <c r="B21" s="3" t="s">
        <v>27</v>
      </c>
      <c r="C21" s="32">
        <v>42</v>
      </c>
      <c r="D21" s="5">
        <v>1108.0551851851851</v>
      </c>
      <c r="E21" s="22">
        <v>0.20519999999999999</v>
      </c>
      <c r="F21" s="5">
        <f t="shared" si="1"/>
        <v>1335.4281091851851</v>
      </c>
      <c r="G21" s="7">
        <f t="shared" si="0"/>
        <v>7.9489768403880063</v>
      </c>
      <c r="H21" s="23">
        <f t="shared" ref="H21:H22" si="5">72*4</f>
        <v>288</v>
      </c>
      <c r="I21" s="24">
        <f t="shared" si="3"/>
        <v>2289.3053300317461</v>
      </c>
      <c r="K21" s="2"/>
      <c r="L21" s="27"/>
      <c r="M21" s="11"/>
      <c r="N21" s="12"/>
    </row>
    <row r="22" spans="2:14" x14ac:dyDescent="0.25">
      <c r="B22" s="13" t="s">
        <v>28</v>
      </c>
      <c r="C22" s="26">
        <v>44</v>
      </c>
      <c r="D22" s="15">
        <v>959.49814814814818</v>
      </c>
      <c r="E22" s="16">
        <v>0.20519999999999999</v>
      </c>
      <c r="F22" s="15">
        <f t="shared" si="1"/>
        <v>1156.3871681481482</v>
      </c>
      <c r="G22" s="17">
        <f t="shared" si="0"/>
        <v>6.5703816372053874</v>
      </c>
      <c r="H22" s="18">
        <f t="shared" si="5"/>
        <v>288</v>
      </c>
      <c r="I22" s="19">
        <f t="shared" si="3"/>
        <v>1892.2699115151515</v>
      </c>
      <c r="K22" s="2"/>
      <c r="L22" s="27"/>
      <c r="M22" s="11"/>
      <c r="N22" s="12"/>
    </row>
    <row r="23" spans="2:14" x14ac:dyDescent="0.25">
      <c r="B23" s="162" t="s">
        <v>29</v>
      </c>
      <c r="C23" s="163"/>
      <c r="D23" s="163"/>
      <c r="E23" s="163"/>
      <c r="F23" s="163"/>
      <c r="G23" s="164"/>
      <c r="H23" s="23"/>
      <c r="I23" s="33">
        <f>(SUM(I5:I22))</f>
        <v>141758.99601563078</v>
      </c>
      <c r="K23" s="34"/>
      <c r="L23" s="2"/>
      <c r="M23" s="2"/>
      <c r="N23" s="2"/>
    </row>
    <row r="24" spans="2:14" x14ac:dyDescent="0.25">
      <c r="B24" s="162" t="s">
        <v>30</v>
      </c>
      <c r="C24" s="163"/>
      <c r="D24" s="163"/>
      <c r="E24" s="163"/>
      <c r="F24" s="163"/>
      <c r="G24" s="164"/>
      <c r="H24" s="35"/>
      <c r="I24" s="36">
        <f>I23/2730</f>
        <v>51.926372166897721</v>
      </c>
      <c r="K24" s="34"/>
      <c r="L24" s="2"/>
      <c r="M24" s="2"/>
      <c r="N24" s="2"/>
    </row>
    <row r="25" spans="2:14" x14ac:dyDescent="0.25">
      <c r="I25" s="37"/>
    </row>
    <row r="26" spans="2:14" x14ac:dyDescent="0.25">
      <c r="B26" s="41" t="s">
        <v>32</v>
      </c>
      <c r="C26" s="42"/>
    </row>
    <row r="27" spans="2:14" x14ac:dyDescent="0.25">
      <c r="B27" s="43"/>
      <c r="C27" s="44" t="s">
        <v>33</v>
      </c>
    </row>
    <row r="28" spans="2:14" x14ac:dyDescent="0.25">
      <c r="B28" s="45" t="s">
        <v>34</v>
      </c>
      <c r="C28" s="46">
        <f>I23</f>
        <v>141758.99601563078</v>
      </c>
    </row>
    <row r="29" spans="2:14" x14ac:dyDescent="0.25">
      <c r="B29" s="45" t="s">
        <v>35</v>
      </c>
      <c r="C29" s="46">
        <f>C28/2730</f>
        <v>51.926372166897721</v>
      </c>
    </row>
    <row r="30" spans="2:14" x14ac:dyDescent="0.25">
      <c r="B30" s="45" t="s">
        <v>36</v>
      </c>
      <c r="C30" s="48">
        <v>0.08</v>
      </c>
    </row>
    <row r="31" spans="2:14" x14ac:dyDescent="0.25">
      <c r="B31" s="45" t="s">
        <v>37</v>
      </c>
      <c r="C31" s="48">
        <v>0.2</v>
      </c>
    </row>
    <row r="32" spans="2:14" x14ac:dyDescent="0.25">
      <c r="B32" s="45" t="s">
        <v>38</v>
      </c>
      <c r="C32" s="49">
        <v>3.2000000000000001E-2</v>
      </c>
    </row>
    <row r="33" spans="2:6" x14ac:dyDescent="0.25">
      <c r="B33" s="45" t="s">
        <v>39</v>
      </c>
      <c r="C33" s="48">
        <v>0.02</v>
      </c>
    </row>
    <row r="34" spans="2:6" x14ac:dyDescent="0.25">
      <c r="B34" s="45" t="s">
        <v>40</v>
      </c>
      <c r="C34" s="50">
        <v>2.5000000000000001E-2</v>
      </c>
    </row>
    <row r="35" spans="2:6" x14ac:dyDescent="0.25">
      <c r="B35" s="45" t="s">
        <v>41</v>
      </c>
      <c r="C35" s="49">
        <f>SUM(C30:C34)</f>
        <v>0.3570000000000001</v>
      </c>
    </row>
    <row r="36" spans="2:6" x14ac:dyDescent="0.25">
      <c r="B36" s="45" t="s">
        <v>42</v>
      </c>
      <c r="C36" s="46">
        <f>C28*C35</f>
        <v>50607.961577580201</v>
      </c>
    </row>
    <row r="37" spans="2:6" x14ac:dyDescent="0.25">
      <c r="B37" s="45" t="s">
        <v>43</v>
      </c>
      <c r="C37" s="46">
        <f>C28+C36</f>
        <v>192366.95759321097</v>
      </c>
    </row>
    <row r="38" spans="2:6" x14ac:dyDescent="0.25">
      <c r="B38" s="45" t="s">
        <v>44</v>
      </c>
      <c r="C38" s="46">
        <f>C29+C39</f>
        <v>70.464087030480215</v>
      </c>
    </row>
    <row r="39" spans="2:6" x14ac:dyDescent="0.25">
      <c r="B39" s="51" t="s">
        <v>45</v>
      </c>
      <c r="C39" s="52">
        <f>C35*C29</f>
        <v>18.53771486358249</v>
      </c>
    </row>
    <row r="41" spans="2:6" x14ac:dyDescent="0.25">
      <c r="B41" s="156" t="s">
        <v>46</v>
      </c>
      <c r="C41" s="156"/>
      <c r="D41" s="156"/>
      <c r="E41" s="156"/>
      <c r="F41" s="156"/>
    </row>
    <row r="42" spans="2:6" x14ac:dyDescent="0.25">
      <c r="B42" s="160" t="s">
        <v>47</v>
      </c>
      <c r="C42" s="160" t="s">
        <v>48</v>
      </c>
      <c r="D42" s="160" t="s">
        <v>49</v>
      </c>
      <c r="E42" s="161" t="s">
        <v>10</v>
      </c>
      <c r="F42" s="161" t="s">
        <v>31</v>
      </c>
    </row>
    <row r="43" spans="2:6" x14ac:dyDescent="0.25">
      <c r="B43" s="160"/>
      <c r="C43" s="160"/>
      <c r="D43" s="160"/>
      <c r="E43" s="161"/>
      <c r="F43" s="161"/>
    </row>
    <row r="44" spans="2:6" x14ac:dyDescent="0.25">
      <c r="B44" s="40" t="s">
        <v>50</v>
      </c>
      <c r="C44" s="53">
        <v>13.74</v>
      </c>
      <c r="D44" s="1">
        <v>1527</v>
      </c>
      <c r="E44" s="54">
        <f>D44*C44*2</f>
        <v>41961.96</v>
      </c>
      <c r="F44" s="55">
        <f>E44/2730</f>
        <v>15.370681318681319</v>
      </c>
    </row>
    <row r="45" spans="2:6" ht="15" customHeight="1" x14ac:dyDescent="0.25">
      <c r="B45" s="56" t="s">
        <v>51</v>
      </c>
      <c r="C45" s="57">
        <v>0.4</v>
      </c>
      <c r="D45" s="39">
        <v>16500</v>
      </c>
      <c r="E45" s="58">
        <f>C45*D45</f>
        <v>6600</v>
      </c>
      <c r="F45" s="59">
        <f>E45/2730</f>
        <v>2.4175824175824174</v>
      </c>
    </row>
    <row r="46" spans="2:6" x14ac:dyDescent="0.25">
      <c r="B46" s="40" t="s">
        <v>52</v>
      </c>
      <c r="C46" s="53">
        <v>4000</v>
      </c>
      <c r="D46" s="1">
        <v>1</v>
      </c>
      <c r="E46" s="53"/>
      <c r="F46" s="55">
        <f>C46/2730</f>
        <v>1.4652014652014651</v>
      </c>
    </row>
    <row r="47" spans="2:6" x14ac:dyDescent="0.25">
      <c r="B47" s="56" t="s">
        <v>53</v>
      </c>
      <c r="C47" s="57">
        <v>1651.76</v>
      </c>
      <c r="D47" s="39"/>
      <c r="E47" s="60"/>
      <c r="F47" s="59">
        <f>C47/2730</f>
        <v>0.60504029304029305</v>
      </c>
    </row>
    <row r="48" spans="2:6" ht="14.25" customHeight="1" x14ac:dyDescent="0.25">
      <c r="B48" s="40" t="s">
        <v>54</v>
      </c>
      <c r="C48" s="53">
        <v>1182</v>
      </c>
      <c r="D48" s="1"/>
      <c r="E48" s="61"/>
      <c r="F48" s="55">
        <f>C48/2730</f>
        <v>0.43296703296703298</v>
      </c>
    </row>
    <row r="49" spans="2:6" x14ac:dyDescent="0.25">
      <c r="B49" s="56" t="s">
        <v>55</v>
      </c>
      <c r="C49" s="57">
        <v>2807.31</v>
      </c>
      <c r="D49" s="39"/>
      <c r="E49" s="60"/>
      <c r="F49" s="59">
        <f>C49/2730</f>
        <v>1.0283186813186813</v>
      </c>
    </row>
    <row r="50" spans="2:6" x14ac:dyDescent="0.25">
      <c r="B50" s="40" t="s">
        <v>1</v>
      </c>
      <c r="C50" s="53"/>
      <c r="D50" s="1"/>
      <c r="E50" s="61"/>
      <c r="F50" s="62">
        <f>SUM(F44:F49)</f>
        <v>21.319791208791205</v>
      </c>
    </row>
    <row r="51" spans="2:6" x14ac:dyDescent="0.25">
      <c r="B51" s="63" t="s">
        <v>56</v>
      </c>
      <c r="C51" s="64">
        <f>2900*1100*0.008</f>
        <v>25520</v>
      </c>
      <c r="D51" s="65">
        <v>1</v>
      </c>
      <c r="E51" s="66">
        <f>C51</f>
        <v>25520</v>
      </c>
      <c r="F51" s="66">
        <f>E51/2730</f>
        <v>9.3479853479853485</v>
      </c>
    </row>
    <row r="53" spans="2:6" x14ac:dyDescent="0.25">
      <c r="B53" s="185" t="s">
        <v>57</v>
      </c>
      <c r="C53" s="185"/>
      <c r="D53" s="185"/>
      <c r="E53" s="185"/>
      <c r="F53" s="185"/>
    </row>
    <row r="54" spans="2:6" x14ac:dyDescent="0.25">
      <c r="B54" s="160" t="s">
        <v>47</v>
      </c>
      <c r="C54" s="160" t="s">
        <v>48</v>
      </c>
      <c r="D54" s="160" t="s">
        <v>49</v>
      </c>
      <c r="E54" s="161" t="s">
        <v>10</v>
      </c>
      <c r="F54" s="161" t="s">
        <v>31</v>
      </c>
    </row>
    <row r="55" spans="2:6" x14ac:dyDescent="0.25">
      <c r="B55" s="160"/>
      <c r="C55" s="160"/>
      <c r="D55" s="160"/>
      <c r="E55" s="161"/>
      <c r="F55" s="161"/>
    </row>
    <row r="56" spans="2:6" x14ac:dyDescent="0.25">
      <c r="B56" s="40" t="s">
        <v>58</v>
      </c>
      <c r="C56" s="53">
        <v>3625</v>
      </c>
      <c r="D56" s="67">
        <v>1</v>
      </c>
      <c r="E56" s="53">
        <v>3625</v>
      </c>
      <c r="F56" s="55">
        <f>E56/2730</f>
        <v>1.3278388278388278</v>
      </c>
    </row>
    <row r="57" spans="2:6" x14ac:dyDescent="0.25">
      <c r="B57" s="40" t="s">
        <v>59</v>
      </c>
      <c r="C57" s="68">
        <v>0.1</v>
      </c>
      <c r="D57" s="1">
        <v>1</v>
      </c>
      <c r="E57" s="1"/>
      <c r="F57" s="55">
        <v>4.13</v>
      </c>
    </row>
    <row r="58" spans="2:6" x14ac:dyDescent="0.25">
      <c r="B58" s="47" t="s">
        <v>1</v>
      </c>
      <c r="C58" s="1"/>
      <c r="D58" s="1"/>
      <c r="E58" s="69"/>
      <c r="F58" s="70">
        <v>5.45</v>
      </c>
    </row>
    <row r="59" spans="2:6" x14ac:dyDescent="0.25">
      <c r="B59" s="71"/>
      <c r="C59" s="72"/>
      <c r="D59" s="72"/>
      <c r="E59" s="73"/>
      <c r="F59" s="74"/>
    </row>
    <row r="60" spans="2:6" x14ac:dyDescent="0.25">
      <c r="B60" s="75" t="s">
        <v>0</v>
      </c>
      <c r="C60" s="75" t="s">
        <v>60</v>
      </c>
      <c r="D60" s="75" t="s">
        <v>61</v>
      </c>
    </row>
    <row r="61" spans="2:6" x14ac:dyDescent="0.25">
      <c r="B61" s="76" t="s">
        <v>62</v>
      </c>
      <c r="C61" s="77">
        <v>183.19</v>
      </c>
      <c r="D61" s="77">
        <v>176.38</v>
      </c>
    </row>
    <row r="63" spans="2:6" x14ac:dyDescent="0.25">
      <c r="B63" s="75" t="s">
        <v>0</v>
      </c>
      <c r="C63" s="75" t="s">
        <v>60</v>
      </c>
      <c r="D63" s="75" t="s">
        <v>61</v>
      </c>
      <c r="E63" s="38" t="s">
        <v>63</v>
      </c>
    </row>
    <row r="64" spans="2:6" x14ac:dyDescent="0.25">
      <c r="B64" s="40" t="s">
        <v>64</v>
      </c>
      <c r="C64" s="82">
        <v>59.891831385808779</v>
      </c>
      <c r="D64" s="83">
        <v>53.075334787169318</v>
      </c>
      <c r="E64" s="84">
        <v>49.42</v>
      </c>
    </row>
    <row r="65" spans="2:5" x14ac:dyDescent="0.25">
      <c r="B65" s="174" t="s">
        <v>65</v>
      </c>
      <c r="C65" s="176">
        <v>70.464087030480215</v>
      </c>
      <c r="D65" s="178">
        <v>70.464087030480215</v>
      </c>
      <c r="E65" s="167">
        <v>116.6</v>
      </c>
    </row>
    <row r="66" spans="2:5" x14ac:dyDescent="0.25">
      <c r="B66" s="175"/>
      <c r="C66" s="177"/>
      <c r="D66" s="179"/>
      <c r="E66" s="168"/>
    </row>
    <row r="67" spans="2:5" x14ac:dyDescent="0.25">
      <c r="B67" s="40" t="s">
        <v>66</v>
      </c>
      <c r="C67" s="82">
        <v>6.5993891636141653</v>
      </c>
      <c r="D67" s="83">
        <v>6.5993891636141653</v>
      </c>
      <c r="E67" s="84">
        <v>7.71</v>
      </c>
    </row>
    <row r="68" spans="2:5" x14ac:dyDescent="0.25">
      <c r="B68" s="40" t="s">
        <v>67</v>
      </c>
      <c r="C68" s="82">
        <v>10.115195</v>
      </c>
      <c r="D68" s="83">
        <v>10.115195</v>
      </c>
      <c r="E68" s="84">
        <v>16.7</v>
      </c>
    </row>
    <row r="69" spans="2:5" x14ac:dyDescent="0.25">
      <c r="B69" s="56" t="s">
        <v>68</v>
      </c>
      <c r="C69" s="87">
        <v>21.319791208791205</v>
      </c>
      <c r="D69" s="88">
        <v>21.319791208791205</v>
      </c>
      <c r="E69" s="167">
        <v>57.47</v>
      </c>
    </row>
    <row r="70" spans="2:5" x14ac:dyDescent="0.25">
      <c r="B70" s="56" t="s">
        <v>69</v>
      </c>
      <c r="C70" s="87">
        <v>5.4532394259651964</v>
      </c>
      <c r="D70" s="88">
        <v>5.4532394259651964</v>
      </c>
      <c r="E70" s="168"/>
    </row>
    <row r="71" spans="2:5" x14ac:dyDescent="0.25">
      <c r="B71" s="89" t="s">
        <v>70</v>
      </c>
      <c r="C71" s="90">
        <v>9.3479853479853485</v>
      </c>
      <c r="D71" s="91">
        <v>9.3479853479853485</v>
      </c>
      <c r="E71" s="92">
        <v>9.06</v>
      </c>
    </row>
    <row r="72" spans="2:5" x14ac:dyDescent="0.25">
      <c r="B72" s="40" t="s">
        <v>1</v>
      </c>
      <c r="C72" s="82">
        <v>183.19151856264492</v>
      </c>
      <c r="D72" s="83">
        <v>176.37502196400544</v>
      </c>
      <c r="E72" s="84">
        <v>256.98</v>
      </c>
    </row>
    <row r="73" spans="2:5" x14ac:dyDescent="0.25">
      <c r="B73" s="40" t="s">
        <v>71</v>
      </c>
      <c r="C73" s="85">
        <v>2.324481127545619E-2</v>
      </c>
      <c r="D73" s="85">
        <v>-1.4829794090345572E-2</v>
      </c>
      <c r="E73" s="86">
        <v>0.43540188795174006</v>
      </c>
    </row>
  </sheetData>
  <mergeCells count="31">
    <mergeCell ref="B53:F53"/>
    <mergeCell ref="B54:B55"/>
    <mergeCell ref="C54:C55"/>
    <mergeCell ref="D54:D55"/>
    <mergeCell ref="E54:E55"/>
    <mergeCell ref="F54:F55"/>
    <mergeCell ref="B42:B43"/>
    <mergeCell ref="C42:C43"/>
    <mergeCell ref="D42:D43"/>
    <mergeCell ref="E42:E43"/>
    <mergeCell ref="F42:F43"/>
    <mergeCell ref="L3:L4"/>
    <mergeCell ref="M3:M4"/>
    <mergeCell ref="N3:N4"/>
    <mergeCell ref="B24:G24"/>
    <mergeCell ref="B41:F41"/>
    <mergeCell ref="B23:G23"/>
    <mergeCell ref="B2:I2"/>
    <mergeCell ref="B3:B4"/>
    <mergeCell ref="C3:C4"/>
    <mergeCell ref="D3:D4"/>
    <mergeCell ref="E3:E4"/>
    <mergeCell ref="F3:F4"/>
    <mergeCell ref="G3:G4"/>
    <mergeCell ref="H3:H4"/>
    <mergeCell ref="I3:I4"/>
    <mergeCell ref="B65:B66"/>
    <mergeCell ref="C65:C66"/>
    <mergeCell ref="D65:D66"/>
    <mergeCell ref="E65:E66"/>
    <mergeCell ref="E69:E70"/>
  </mergeCells>
  <pageMargins left="0.23622047244094491" right="0.23622047244094491" top="1.5354330708661419" bottom="0.74803149606299213" header="0.31496062992125984" footer="0.31496062992125984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13"/>
  <sheetViews>
    <sheetView tabSelected="1" topLeftCell="A2" workbookViewId="0">
      <selection activeCell="E2" sqref="E1:E1048576"/>
    </sheetView>
  </sheetViews>
  <sheetFormatPr defaultRowHeight="15" x14ac:dyDescent="0.25"/>
  <cols>
    <col min="1" max="1" width="9.140625" style="138"/>
    <col min="2" max="2" width="45.85546875" style="138" customWidth="1"/>
    <col min="3" max="3" width="22.7109375" style="138" customWidth="1"/>
    <col min="4" max="4" width="23.7109375" style="138" customWidth="1"/>
    <col min="5" max="5" width="21.85546875" style="138" customWidth="1"/>
    <col min="6" max="16384" width="9.140625" style="138"/>
  </cols>
  <sheetData>
    <row r="3" spans="2:5" ht="15.75" thickBot="1" x14ac:dyDescent="0.3">
      <c r="D3" s="138" t="s">
        <v>97</v>
      </c>
    </row>
    <row r="4" spans="2:5" ht="27.75" customHeight="1" thickBot="1" x14ac:dyDescent="0.35">
      <c r="B4" s="186" t="s">
        <v>96</v>
      </c>
      <c r="C4" s="187"/>
      <c r="D4" s="187"/>
      <c r="E4" s="188"/>
    </row>
    <row r="5" spans="2:5" ht="18.75" x14ac:dyDescent="0.3">
      <c r="B5" s="139" t="s">
        <v>0</v>
      </c>
      <c r="C5" s="140" t="s">
        <v>95</v>
      </c>
      <c r="D5" s="140" t="s">
        <v>60</v>
      </c>
      <c r="E5" s="141" t="s">
        <v>61</v>
      </c>
    </row>
    <row r="6" spans="2:5" ht="18.75" x14ac:dyDescent="0.3">
      <c r="B6" s="142" t="s">
        <v>64</v>
      </c>
      <c r="C6" s="143">
        <v>49.42</v>
      </c>
      <c r="D6" s="144">
        <v>59.891831385808779</v>
      </c>
      <c r="E6" s="145">
        <v>53.075334787169297</v>
      </c>
    </row>
    <row r="7" spans="2:5" ht="18.75" x14ac:dyDescent="0.3">
      <c r="B7" s="142" t="s">
        <v>65</v>
      </c>
      <c r="C7" s="143">
        <v>116.6</v>
      </c>
      <c r="D7" s="144">
        <v>106.73283893563988</v>
      </c>
      <c r="E7" s="145">
        <v>106.73283893563988</v>
      </c>
    </row>
    <row r="8" spans="2:5" ht="18.75" x14ac:dyDescent="0.3">
      <c r="B8" s="142" t="s">
        <v>66</v>
      </c>
      <c r="C8" s="143">
        <v>7.71</v>
      </c>
      <c r="D8" s="144">
        <v>6.5993891636141653</v>
      </c>
      <c r="E8" s="145">
        <v>6.5993891636141653</v>
      </c>
    </row>
    <row r="9" spans="2:5" ht="18.75" x14ac:dyDescent="0.3">
      <c r="B9" s="142" t="s">
        <v>67</v>
      </c>
      <c r="C9" s="143">
        <v>16.7</v>
      </c>
      <c r="D9" s="144">
        <v>10.115195</v>
      </c>
      <c r="E9" s="145">
        <v>10.115195</v>
      </c>
    </row>
    <row r="10" spans="2:5" ht="18.75" x14ac:dyDescent="0.3">
      <c r="B10" s="142" t="s">
        <v>68</v>
      </c>
      <c r="C10" s="143">
        <v>57.47</v>
      </c>
      <c r="D10" s="144">
        <v>22.56521245421245</v>
      </c>
      <c r="E10" s="145">
        <v>22.56521245421245</v>
      </c>
    </row>
    <row r="11" spans="2:5" ht="18.75" x14ac:dyDescent="0.3">
      <c r="B11" s="142" t="s">
        <v>69</v>
      </c>
      <c r="C11" s="143">
        <v>0</v>
      </c>
      <c r="D11" s="144">
        <v>16.328571428571429</v>
      </c>
      <c r="E11" s="145">
        <v>16.328571428571429</v>
      </c>
    </row>
    <row r="12" spans="2:5" ht="19.5" thickBot="1" x14ac:dyDescent="0.35">
      <c r="B12" s="146" t="s">
        <v>70</v>
      </c>
      <c r="C12" s="147">
        <v>9.06</v>
      </c>
      <c r="D12" s="148">
        <v>9.3479853479853485</v>
      </c>
      <c r="E12" s="149">
        <v>9.3479853479853485</v>
      </c>
    </row>
    <row r="13" spans="2:5" ht="19.5" thickBot="1" x14ac:dyDescent="0.35">
      <c r="B13" s="150" t="s">
        <v>1</v>
      </c>
      <c r="C13" s="151">
        <v>256.98</v>
      </c>
      <c r="D13" s="152">
        <v>231.58102371583206</v>
      </c>
      <c r="E13" s="153">
        <v>224.76452711719256</v>
      </c>
    </row>
  </sheetData>
  <mergeCells count="1">
    <mergeCell ref="B4:E4"/>
  </mergeCells>
  <conditionalFormatting sqref="B4:E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362204722" right="0.51181102362204722" top="0.78740157480314965" bottom="0.78740157480314965" header="0.31496062992125984" footer="0.31496062992125984"/>
  <pageSetup paperSize="9" orientation="landscape" horizontalDpi="4294967293" verticalDpi="4294967293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Ajustado</vt:lpstr>
      <vt:lpstr>Estudo Rais</vt:lpstr>
      <vt:lpstr>Original</vt:lpstr>
      <vt:lpstr>NEGOCIAÇÃO VALOR DA HD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Maria Reis Gonçalves</dc:creator>
  <cp:lastModifiedBy>Gerente</cp:lastModifiedBy>
  <cp:lastPrinted>2017-04-19T13:41:46Z</cp:lastPrinted>
  <dcterms:created xsi:type="dcterms:W3CDTF">2016-10-25T14:08:58Z</dcterms:created>
  <dcterms:modified xsi:type="dcterms:W3CDTF">2017-12-08T19:00:05Z</dcterms:modified>
</cp:coreProperties>
</file>